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ichael\Downloads\"/>
    </mc:Choice>
  </mc:AlternateContent>
  <xr:revisionPtr revIDLastSave="0" documentId="13_ncr:1_{93D44B76-CD73-4853-828D-15D3DDE182B4}" xr6:coauthVersionLast="47" xr6:coauthVersionMax="47" xr10:uidLastSave="{00000000-0000-0000-0000-000000000000}"/>
  <bookViews>
    <workbookView xWindow="-108" yWindow="-108" windowWidth="23256" windowHeight="13896" tabRatio="500" activeTab="1" xr2:uid="{00000000-000D-0000-FFFF-FFFF00000000}"/>
  </bookViews>
  <sheets>
    <sheet name="Setup" sheetId="1" r:id="rId1"/>
    <sheet name="Summary" sheetId="2" r:id="rId2"/>
    <sheet name="Revenue" sheetId="4" r:id="rId3"/>
    <sheet name="Personnel" sheetId="3" r:id="rId4"/>
    <sheet name="Expenses" sheetId="5" r:id="rId5"/>
    <sheet name="Cash Flow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2" i="3" l="1"/>
  <c r="D16" i="3"/>
  <c r="D15" i="3"/>
  <c r="D14" i="3"/>
  <c r="D13" i="3"/>
  <c r="D12" i="3"/>
  <c r="D11" i="3"/>
  <c r="D10" i="3"/>
  <c r="D9" i="3"/>
  <c r="D8" i="3"/>
  <c r="D7" i="3"/>
  <c r="D6" i="3"/>
  <c r="D5" i="3"/>
  <c r="B18" i="2"/>
  <c r="E21" i="4"/>
  <c r="E16" i="4"/>
  <c r="E15" i="4"/>
  <c r="E14" i="4"/>
  <c r="E13" i="4"/>
  <c r="E12" i="4"/>
  <c r="E11" i="4"/>
  <c r="E10" i="4"/>
  <c r="E9" i="4"/>
  <c r="E8" i="4"/>
  <c r="E7" i="4"/>
  <c r="E6" i="4"/>
  <c r="E5" i="4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I10" i="3" l="1"/>
  <c r="B23" i="6"/>
  <c r="N23" i="6" s="1"/>
  <c r="B20" i="6"/>
  <c r="N20" i="6" s="1"/>
  <c r="B19" i="6"/>
  <c r="N19" i="6" s="1"/>
  <c r="I18" i="6"/>
  <c r="H18" i="6"/>
  <c r="B18" i="6"/>
  <c r="N18" i="6" s="1"/>
  <c r="B17" i="6"/>
  <c r="N17" i="6" s="1"/>
  <c r="B16" i="6"/>
  <c r="N16" i="6" s="1"/>
  <c r="C15" i="6"/>
  <c r="O12" i="6"/>
  <c r="P12" i="6" s="1"/>
  <c r="P11" i="6"/>
  <c r="O11" i="6"/>
  <c r="O10" i="6"/>
  <c r="P10" i="6" s="1"/>
  <c r="O9" i="6"/>
  <c r="P9" i="6" s="1"/>
  <c r="O8" i="6"/>
  <c r="P8" i="6" s="1"/>
  <c r="O7" i="6"/>
  <c r="P7" i="6" s="1"/>
  <c r="A2" i="6"/>
  <c r="C27" i="5"/>
  <c r="O26" i="5"/>
  <c r="N26" i="5"/>
  <c r="M26" i="5"/>
  <c r="L26" i="5"/>
  <c r="K26" i="5"/>
  <c r="O25" i="5"/>
  <c r="N25" i="5"/>
  <c r="M25" i="5"/>
  <c r="L25" i="5"/>
  <c r="K25" i="5"/>
  <c r="O24" i="5"/>
  <c r="N24" i="5"/>
  <c r="M24" i="5"/>
  <c r="L24" i="5"/>
  <c r="K24" i="5"/>
  <c r="O23" i="5"/>
  <c r="N23" i="5"/>
  <c r="M23" i="5"/>
  <c r="L23" i="5"/>
  <c r="K23" i="5"/>
  <c r="O22" i="5"/>
  <c r="N22" i="5"/>
  <c r="M22" i="5"/>
  <c r="L22" i="5"/>
  <c r="K22" i="5"/>
  <c r="O21" i="5"/>
  <c r="N21" i="5"/>
  <c r="M21" i="5"/>
  <c r="L21" i="5"/>
  <c r="K21" i="5"/>
  <c r="O20" i="5"/>
  <c r="N20" i="5"/>
  <c r="M20" i="5"/>
  <c r="L20" i="5"/>
  <c r="K20" i="5"/>
  <c r="O19" i="5"/>
  <c r="N19" i="5"/>
  <c r="M19" i="5"/>
  <c r="L19" i="5"/>
  <c r="K19" i="5"/>
  <c r="O18" i="5"/>
  <c r="N18" i="5"/>
  <c r="M18" i="5"/>
  <c r="L18" i="5"/>
  <c r="K18" i="5"/>
  <c r="O17" i="5"/>
  <c r="N17" i="5"/>
  <c r="M17" i="5"/>
  <c r="L17" i="5"/>
  <c r="K17" i="5"/>
  <c r="O16" i="5"/>
  <c r="N16" i="5"/>
  <c r="M16" i="5"/>
  <c r="L16" i="5"/>
  <c r="K16" i="5"/>
  <c r="O15" i="5"/>
  <c r="N15" i="5"/>
  <c r="M15" i="5"/>
  <c r="L15" i="5"/>
  <c r="K15" i="5"/>
  <c r="O14" i="5"/>
  <c r="N14" i="5"/>
  <c r="M14" i="5"/>
  <c r="L14" i="5"/>
  <c r="K14" i="5"/>
  <c r="O13" i="5"/>
  <c r="N13" i="5"/>
  <c r="M13" i="5"/>
  <c r="L13" i="5"/>
  <c r="K13" i="5"/>
  <c r="O12" i="5"/>
  <c r="N12" i="5"/>
  <c r="M12" i="5"/>
  <c r="L12" i="5"/>
  <c r="K12" i="5"/>
  <c r="O11" i="5"/>
  <c r="N11" i="5"/>
  <c r="M11" i="5"/>
  <c r="L11" i="5"/>
  <c r="K11" i="5"/>
  <c r="O10" i="5"/>
  <c r="N10" i="5"/>
  <c r="M10" i="5"/>
  <c r="L10" i="5"/>
  <c r="K10" i="5"/>
  <c r="O9" i="5"/>
  <c r="N9" i="5"/>
  <c r="M9" i="5"/>
  <c r="L9" i="5"/>
  <c r="K9" i="5"/>
  <c r="O8" i="5"/>
  <c r="N8" i="5"/>
  <c r="M8" i="5"/>
  <c r="L8" i="5"/>
  <c r="K8" i="5"/>
  <c r="L4" i="5"/>
  <c r="K4" i="5"/>
  <c r="H4" i="5"/>
  <c r="G4" i="5"/>
  <c r="A2" i="5"/>
  <c r="D21" i="4"/>
  <c r="C21" i="4"/>
  <c r="I20" i="4"/>
  <c r="F20" i="4"/>
  <c r="I19" i="4"/>
  <c r="F19" i="4"/>
  <c r="I18" i="4"/>
  <c r="F18" i="4"/>
  <c r="I17" i="4"/>
  <c r="F17" i="4"/>
  <c r="I16" i="4"/>
  <c r="E9" i="2" s="1"/>
  <c r="F16" i="4"/>
  <c r="I15" i="4"/>
  <c r="F15" i="4"/>
  <c r="I14" i="4"/>
  <c r="E8" i="2" s="1"/>
  <c r="F14" i="4"/>
  <c r="I13" i="4"/>
  <c r="E7" i="2" s="1"/>
  <c r="F13" i="4"/>
  <c r="I12" i="4"/>
  <c r="F12" i="4"/>
  <c r="I11" i="4"/>
  <c r="F11" i="4"/>
  <c r="I10" i="4"/>
  <c r="F10" i="4"/>
  <c r="I9" i="4"/>
  <c r="F9" i="4"/>
  <c r="I8" i="4"/>
  <c r="F8" i="4"/>
  <c r="I7" i="4"/>
  <c r="F7" i="4"/>
  <c r="I6" i="4"/>
  <c r="F6" i="4"/>
  <c r="I5" i="4"/>
  <c r="F5" i="4"/>
  <c r="A2" i="4"/>
  <c r="C20" i="3"/>
  <c r="B20" i="3"/>
  <c r="B17" i="3"/>
  <c r="I16" i="3"/>
  <c r="I15" i="3"/>
  <c r="I14" i="3"/>
  <c r="I13" i="3"/>
  <c r="I12" i="3"/>
  <c r="I11" i="3"/>
  <c r="I9" i="3"/>
  <c r="I8" i="3"/>
  <c r="I7" i="3"/>
  <c r="I6" i="3"/>
  <c r="I5" i="3"/>
  <c r="F4" i="3"/>
  <c r="E4" i="3"/>
  <c r="A2" i="3"/>
  <c r="B29" i="2"/>
  <c r="A15" i="2"/>
  <c r="A14" i="2"/>
  <c r="C9" i="2"/>
  <c r="B9" i="2"/>
  <c r="C8" i="2"/>
  <c r="B8" i="2"/>
  <c r="C7" i="2"/>
  <c r="B7" i="2"/>
  <c r="C6" i="2"/>
  <c r="B6" i="2"/>
  <c r="C5" i="2"/>
  <c r="B5" i="2"/>
  <c r="A2" i="2"/>
  <c r="A1" i="2"/>
  <c r="G18" i="6" l="1"/>
  <c r="I19" i="6"/>
  <c r="H19" i="6"/>
  <c r="I21" i="4"/>
  <c r="F16" i="6"/>
  <c r="G19" i="6"/>
  <c r="E6" i="2"/>
  <c r="F17" i="6"/>
  <c r="G17" i="6"/>
  <c r="F20" i="6"/>
  <c r="G16" i="6"/>
  <c r="H17" i="6"/>
  <c r="G20" i="6"/>
  <c r="F21" i="4"/>
  <c r="F19" i="6"/>
  <c r="H16" i="6"/>
  <c r="I16" i="6"/>
  <c r="C10" i="2"/>
  <c r="D9" i="2" s="1"/>
  <c r="I17" i="6"/>
  <c r="B10" i="2"/>
  <c r="B20" i="2" s="1"/>
  <c r="F18" i="6"/>
  <c r="H23" i="6"/>
  <c r="I23" i="6"/>
  <c r="J23" i="6"/>
  <c r="K23" i="6"/>
  <c r="F23" i="6"/>
  <c r="G23" i="6"/>
  <c r="B21" i="3"/>
  <c r="K5" i="5" s="1"/>
  <c r="D21" i="3"/>
  <c r="D22" i="3" s="1"/>
  <c r="M6" i="5" s="1"/>
  <c r="D17" i="3"/>
  <c r="E21" i="3"/>
  <c r="E22" i="3" s="1"/>
  <c r="N6" i="5" s="1"/>
  <c r="C11" i="2"/>
  <c r="D6" i="2"/>
  <c r="N21" i="6"/>
  <c r="B21" i="6"/>
  <c r="E5" i="2"/>
  <c r="C16" i="6"/>
  <c r="C17" i="6"/>
  <c r="C18" i="6"/>
  <c r="C19" i="6"/>
  <c r="C20" i="6"/>
  <c r="C23" i="6"/>
  <c r="D16" i="6"/>
  <c r="D17" i="6"/>
  <c r="D18" i="6"/>
  <c r="D19" i="6"/>
  <c r="D20" i="6"/>
  <c r="D23" i="6"/>
  <c r="C21" i="3"/>
  <c r="E16" i="6"/>
  <c r="E17" i="6"/>
  <c r="E18" i="6"/>
  <c r="E19" i="6"/>
  <c r="E20" i="6"/>
  <c r="E23" i="6"/>
  <c r="I20" i="6"/>
  <c r="I21" i="6" s="1"/>
  <c r="J17" i="6"/>
  <c r="J19" i="6"/>
  <c r="K16" i="6"/>
  <c r="K17" i="6"/>
  <c r="K18" i="6"/>
  <c r="K19" i="6"/>
  <c r="K20" i="6"/>
  <c r="L16" i="6"/>
  <c r="L17" i="6"/>
  <c r="L18" i="6"/>
  <c r="L19" i="6"/>
  <c r="L20" i="6"/>
  <c r="L23" i="6"/>
  <c r="J16" i="6"/>
  <c r="J18" i="6"/>
  <c r="J20" i="6"/>
  <c r="M16" i="6"/>
  <c r="M17" i="6"/>
  <c r="M18" i="6"/>
  <c r="M19" i="6"/>
  <c r="M20" i="6"/>
  <c r="M23" i="6"/>
  <c r="H20" i="6"/>
  <c r="H21" i="6" l="1"/>
  <c r="G21" i="6"/>
  <c r="E10" i="2"/>
  <c r="D7" i="2"/>
  <c r="D8" i="2"/>
  <c r="D5" i="2"/>
  <c r="B25" i="2"/>
  <c r="L21" i="6"/>
  <c r="E21" i="6"/>
  <c r="F21" i="6"/>
  <c r="E23" i="3"/>
  <c r="N7" i="5" s="1"/>
  <c r="N5" i="5"/>
  <c r="B22" i="3"/>
  <c r="B23" i="3"/>
  <c r="K7" i="5" s="1"/>
  <c r="M5" i="5"/>
  <c r="D23" i="3"/>
  <c r="M7" i="5" s="1"/>
  <c r="C23" i="3"/>
  <c r="L7" i="5" s="1"/>
  <c r="C22" i="3"/>
  <c r="L6" i="5" s="1"/>
  <c r="L5" i="5"/>
  <c r="M21" i="6"/>
  <c r="K21" i="6"/>
  <c r="J21" i="6"/>
  <c r="D21" i="6"/>
  <c r="O23" i="6"/>
  <c r="F21" i="3"/>
  <c r="D5" i="5" s="1"/>
  <c r="O18" i="6"/>
  <c r="O16" i="6"/>
  <c r="C21" i="6"/>
  <c r="O20" i="6"/>
  <c r="O19" i="6"/>
  <c r="O17" i="6"/>
  <c r="E5" i="5" l="1"/>
  <c r="F5" i="5"/>
  <c r="D10" i="2"/>
  <c r="B24" i="3"/>
  <c r="N27" i="5"/>
  <c r="C17" i="2" s="1"/>
  <c r="E24" i="3"/>
  <c r="K6" i="5"/>
  <c r="K27" i="5" s="1"/>
  <c r="C14" i="2" s="1"/>
  <c r="M27" i="5"/>
  <c r="C16" i="2" s="1"/>
  <c r="D24" i="3"/>
  <c r="C24" i="3"/>
  <c r="F23" i="3"/>
  <c r="D7" i="5" s="1"/>
  <c r="O5" i="5"/>
  <c r="G5" i="5"/>
  <c r="H5" i="5"/>
  <c r="L27" i="5"/>
  <c r="I5" i="5"/>
  <c r="J5" i="5"/>
  <c r="F22" i="3"/>
  <c r="D6" i="5" s="1"/>
  <c r="O21" i="6"/>
  <c r="I7" i="5" l="1"/>
  <c r="F7" i="5"/>
  <c r="E7" i="5"/>
  <c r="E6" i="5"/>
  <c r="E27" i="5" s="1"/>
  <c r="F6" i="5"/>
  <c r="G6" i="5"/>
  <c r="F24" i="3"/>
  <c r="J7" i="5"/>
  <c r="G7" i="5"/>
  <c r="H7" i="5"/>
  <c r="O7" i="5"/>
  <c r="H6" i="5"/>
  <c r="B24" i="2"/>
  <c r="B22" i="6"/>
  <c r="C15" i="2"/>
  <c r="O6" i="5"/>
  <c r="I6" i="5"/>
  <c r="J6" i="5"/>
  <c r="D27" i="5"/>
  <c r="F27" i="5" s="1"/>
  <c r="I27" i="5" l="1"/>
  <c r="J27" i="5"/>
  <c r="N22" i="6"/>
  <c r="N24" i="6" s="1"/>
  <c r="N25" i="6" s="1"/>
  <c r="M22" i="6"/>
  <c r="M24" i="6" s="1"/>
  <c r="M25" i="6" s="1"/>
  <c r="J22" i="6"/>
  <c r="J24" i="6" s="1"/>
  <c r="J25" i="6" s="1"/>
  <c r="G22" i="6"/>
  <c r="G24" i="6" s="1"/>
  <c r="G25" i="6" s="1"/>
  <c r="L22" i="6"/>
  <c r="L24" i="6" s="1"/>
  <c r="L25" i="6" s="1"/>
  <c r="K22" i="6"/>
  <c r="K24" i="6" s="1"/>
  <c r="K25" i="6" s="1"/>
  <c r="I22" i="6"/>
  <c r="I24" i="6" s="1"/>
  <c r="I25" i="6" s="1"/>
  <c r="H22" i="6"/>
  <c r="H24" i="6" s="1"/>
  <c r="H25" i="6" s="1"/>
  <c r="F22" i="6"/>
  <c r="F24" i="6" s="1"/>
  <c r="F25" i="6" s="1"/>
  <c r="E22" i="6"/>
  <c r="E24" i="6" s="1"/>
  <c r="E25" i="6" s="1"/>
  <c r="D22" i="6"/>
  <c r="D24" i="6" s="1"/>
  <c r="D25" i="6" s="1"/>
  <c r="C22" i="6"/>
  <c r="B24" i="6"/>
  <c r="B25" i="6" s="1"/>
  <c r="C18" i="2"/>
  <c r="H27" i="5"/>
  <c r="G27" i="5"/>
  <c r="B23" i="2" l="1"/>
  <c r="D14" i="2"/>
  <c r="O22" i="6"/>
  <c r="O24" i="6" s="1"/>
  <c r="O25" i="6" s="1"/>
  <c r="C24" i="6"/>
  <c r="C25" i="6" s="1"/>
  <c r="C26" i="6" s="1"/>
  <c r="B27" i="2"/>
  <c r="B32" i="2" s="1"/>
  <c r="B26" i="2"/>
  <c r="B28" i="2"/>
  <c r="C20" i="2"/>
  <c r="E20" i="2"/>
  <c r="D17" i="2"/>
  <c r="D16" i="2"/>
  <c r="D15" i="2"/>
  <c r="D20" i="2" l="1"/>
  <c r="B30" i="2"/>
  <c r="B31" i="2" s="1"/>
  <c r="B33" i="2" s="1"/>
  <c r="D18" i="2"/>
  <c r="D15" i="6"/>
  <c r="D26" i="6" s="1"/>
  <c r="E15" i="6" s="1"/>
  <c r="E26" i="6" s="1"/>
  <c r="F15" i="6" s="1"/>
  <c r="F26" i="6" s="1"/>
  <c r="G15" i="6" s="1"/>
  <c r="G26" i="6" s="1"/>
  <c r="H15" i="6" s="1"/>
  <c r="H26" i="6" s="1"/>
  <c r="I15" i="6" s="1"/>
  <c r="I26" i="6" s="1"/>
  <c r="J15" i="6" s="1"/>
  <c r="J26" i="6" s="1"/>
  <c r="K15" i="6" s="1"/>
  <c r="K26" i="6" s="1"/>
  <c r="L15" i="6" s="1"/>
  <c r="L26" i="6" s="1"/>
  <c r="M15" i="6" s="1"/>
  <c r="M26" i="6" s="1"/>
  <c r="N15" i="6" s="1"/>
  <c r="N26" i="6" s="1"/>
  <c r="B28" i="6" l="1"/>
  <c r="B29" i="6" l="1"/>
  <c r="B35" i="2" s="1"/>
  <c r="B3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9" authorId="0" shapeId="0" xr:uid="{00000000-0006-0000-0000-000001000000}">
      <text>
        <r>
          <rPr>
            <sz val="10"/>
            <rFont val="Arial"/>
            <family val="2"/>
          </rPr>
          <t>Assumption: typical small/mid nonprofit health, retirement &amp; other benefits run 15–25% of salary. Replace with your actual rate.</t>
        </r>
      </text>
    </comment>
    <comment ref="B10" authorId="0" shapeId="0" xr:uid="{00000000-0006-0000-0000-000002000000}">
      <text>
        <r>
          <rPr>
            <sz val="10"/>
            <rFont val="Arial"/>
            <family val="2"/>
          </rPr>
          <t>7.65% = US employer FICA (Social Security + Medicare). Add state unemployment/workers' comp if applicable.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E20" authorId="0" shapeId="0" xr:uid="{00000000-0006-0000-0100-000002000000}">
      <text>
        <r>
          <rPr>
            <sz val="10"/>
            <rFont val="Arial"/>
            <family val="2"/>
          </rPr>
          <t>Net result if revenue comes in at risk-adjusted levels and expenses as budgeted.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H5" authorId="0" shapeId="0" xr:uid="{00000000-0006-0000-0300-000001000000}">
      <text>
        <r>
          <rPr>
            <sz val="10"/>
            <rFont val="Arial"/>
            <family val="2"/>
          </rPr>
          <t>Your estimate of the likelihood this revenue arrives at the budgeted amount. Used for the Risk-Adjusted column.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Young</author>
    <author>Unknown Author</author>
  </authors>
  <commentList>
    <comment ref="B4" authorId="0" shapeId="0" xr:uid="{41887E47-A2C5-41BF-97D1-CFDAC349AD37}">
      <text>
        <r>
          <rPr>
            <sz val="9"/>
            <color indexed="81"/>
            <rFont val="Tahoma"/>
            <charset val="1"/>
          </rPr>
          <t xml:space="preserve">Enter 100% if filled for the full year, 75% for 9 months of the year, etc.
</t>
        </r>
      </text>
    </comment>
    <comment ref="A13" authorId="1" shapeId="0" xr:uid="{00000000-0006-0000-0200-000001000000}">
      <text>
        <r>
          <rPr>
            <sz val="10"/>
            <rFont val="Arial"/>
            <family val="2"/>
          </rPr>
          <t>Blank rows for additional positions – formulas already in place.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I4" authorId="0" shapeId="0" xr:uid="{39697802-83C1-4322-8B93-052994FC4541}">
      <text>
        <r>
          <rPr>
            <sz val="10"/>
            <rFont val="Arial"/>
            <family val="2"/>
          </rPr>
          <t>Month labels are editable (yellow text) – default assumes a July–June fiscal year.</t>
        </r>
      </text>
    </comment>
  </commentList>
</comments>
</file>

<file path=xl/sharedStrings.xml><?xml version="1.0" encoding="utf-8"?>
<sst xmlns="http://schemas.openxmlformats.org/spreadsheetml/2006/main" count="267" uniqueCount="179">
  <si>
    <t>Nonprofit Annual Operating Budget – Setup &amp; Instructions</t>
  </si>
  <si>
    <t>Key settings</t>
  </si>
  <si>
    <t>Organization name</t>
  </si>
  <si>
    <t>Sample Community Nonprofit</t>
  </si>
  <si>
    <t>Fiscal year</t>
  </si>
  <si>
    <t>FY2027</t>
  </si>
  <si>
    <t>Program 1 name</t>
  </si>
  <si>
    <t>Youth Education</t>
  </si>
  <si>
    <t>Program 2 name</t>
  </si>
  <si>
    <t>Family Services</t>
  </si>
  <si>
    <t>Benefits rate (% of salaries)</t>
  </si>
  <si>
    <t>Payroll tax rate (% of salaries)</t>
  </si>
  <si>
    <t>Beginning cash balance</t>
  </si>
  <si>
    <t>Operating reserve target (months of expenses)</t>
  </si>
  <si>
    <t>Legend</t>
  </si>
  <si>
    <t>Blue text on yellow = input you should edit</t>
  </si>
  <si>
    <t>Blue text = input / sample value to replace</t>
  </si>
  <si>
    <t>Black text = formula (don't overwrite)</t>
  </si>
  <si>
    <t>Green text = pulled from another sheet</t>
  </si>
  <si>
    <t>How to use this workbook</t>
  </si>
  <si>
    <t>1. Fill in the settings above (program names flow through every sheet).</t>
  </si>
  <si>
    <t>2. Personnel: list each position, FTE, full-time salary, and % of time spent on each function. Each row must total 100%.</t>
  </si>
  <si>
    <t>3. Revenue: replace the sample lines with your funding sources. Keep the Category names so Cash Flow totals work.</t>
  </si>
  <si>
    <t xml:space="preserve">   Set Status and Confidence % for each line – Risk-Adjusted shows what you can realistically count on.</t>
  </si>
  <si>
    <t>4. Expenses: enter non-personnel costs and how each splits across Programs / Management &amp; General / Fundraising.</t>
  </si>
  <si>
    <t xml:space="preserve">   Personnel rows fill in automatically from the Personnel sheet.</t>
  </si>
  <si>
    <t>5. Cash Flow: adjust the monthly timing %s (each row should total 100%) to see whether cash dips too low mid-year.</t>
  </si>
  <si>
    <t>6. Summary: review the bottom line, program expense ratio, and reserve position.</t>
  </si>
  <si>
    <t>All figures in the sample are illustrative placeholders for a ~$1M organization – replace them with your own.</t>
  </si>
  <si>
    <t>Revenue</t>
  </si>
  <si>
    <t>Prior Year</t>
  </si>
  <si>
    <t>Budget</t>
  </si>
  <si>
    <t>% of Total</t>
  </si>
  <si>
    <t>Risk-Adjusted</t>
  </si>
  <si>
    <t>Foundation &amp; Corporate Grants</t>
  </si>
  <si>
    <t>Individual Giving</t>
  </si>
  <si>
    <t>Events</t>
  </si>
  <si>
    <t>Earned Revenue</t>
  </si>
  <si>
    <t>Other</t>
  </si>
  <si>
    <t>Total Revenue</t>
  </si>
  <si>
    <t>Revenue check vs Revenue sheet</t>
  </si>
  <si>
    <t>Expenses by Function</t>
  </si>
  <si>
    <t>Management &amp; General</t>
  </si>
  <si>
    <t>Fundraising</t>
  </si>
  <si>
    <t>Total Expenses</t>
  </si>
  <si>
    <t>Net Surplus / (Deficit)</t>
  </si>
  <si>
    <t>Program expense ratio</t>
  </si>
  <si>
    <t>Many funders and watchdogs look for roughly 65–75%+</t>
  </si>
  <si>
    <t>Fundraising cost per $1 raised</t>
  </si>
  <si>
    <t>Fundraising expenses ÷ contributed revenue (grants, gifts, events)</t>
  </si>
  <si>
    <t>Revenue growth vs prior year</t>
  </si>
  <si>
    <t>Expense growth vs prior year</t>
  </si>
  <si>
    <t>Monthly operating expenses</t>
  </si>
  <si>
    <t>Operating reserve target</t>
  </si>
  <si>
    <t>Setup months × monthly expenses</t>
  </si>
  <si>
    <t>Beginning cash (Setup)</t>
  </si>
  <si>
    <t>Months of cash on hand at start</t>
  </si>
  <si>
    <t>Lowest projected month-end cash</t>
  </si>
  <si>
    <t>From Cash Flow sheet</t>
  </si>
  <si>
    <t>Month of lowest cash</t>
  </si>
  <si>
    <t>Personnel Budget</t>
  </si>
  <si>
    <t>Position</t>
  </si>
  <si>
    <t>Budgeted Salary</t>
  </si>
  <si>
    <t>Mgmt &amp; General %</t>
  </si>
  <si>
    <t>Fundraising %</t>
  </si>
  <si>
    <t>Allocation Check</t>
  </si>
  <si>
    <t>Notes</t>
  </si>
  <si>
    <t>Executive Director</t>
  </si>
  <si>
    <t>Program Director</t>
  </si>
  <si>
    <t>Program Coordinator – Youth Ed</t>
  </si>
  <si>
    <t>Program Coordinator – Family Svcs</t>
  </si>
  <si>
    <t>Development Director</t>
  </si>
  <si>
    <t>Total</t>
  </si>
  <si>
    <t>Personnel cost by function</t>
  </si>
  <si>
    <t>Cost type</t>
  </si>
  <si>
    <t>Mgmt &amp; General</t>
  </si>
  <si>
    <t>Salaries</t>
  </si>
  <si>
    <t>Benefits</t>
  </si>
  <si>
    <t>Payroll taxes</t>
  </si>
  <si>
    <t>Total personnel</t>
  </si>
  <si>
    <t>Revenue Budget</t>
  </si>
  <si>
    <t>Category</t>
  </si>
  <si>
    <t>Source / Line Item</t>
  </si>
  <si>
    <t>Prior Year Actual</t>
  </si>
  <si>
    <t>Status</t>
  </si>
  <si>
    <t>Confidence %</t>
  </si>
  <si>
    <t>Restricted?</t>
  </si>
  <si>
    <t>XYZ Family Foundation – general operating</t>
  </si>
  <si>
    <t>Committed</t>
  </si>
  <si>
    <t>No</t>
  </si>
  <si>
    <t>Year 2 of 3-year award</t>
  </si>
  <si>
    <t>ABC Foundation – Youth Education program</t>
  </si>
  <si>
    <t>Pending</t>
  </si>
  <si>
    <t>Yes</t>
  </si>
  <si>
    <t>Proposal submitted; decision expected Q2</t>
  </si>
  <si>
    <t>DEF Foundation – Family Services program</t>
  </si>
  <si>
    <t>Renewal request</t>
  </si>
  <si>
    <t>Corporate grants &amp; sponsorships</t>
  </si>
  <si>
    <t>Prospective</t>
  </si>
  <si>
    <t>Mixed</t>
  </si>
  <si>
    <t>Major gifts ($5,000+)</t>
  </si>
  <si>
    <t>Based on donor pipeline</t>
  </si>
  <si>
    <t>Annual fund / online giving</t>
  </si>
  <si>
    <t>Year-end appeal is largest driver</t>
  </si>
  <si>
    <t>Monthly recurring donors</t>
  </si>
  <si>
    <t>Board giving</t>
  </si>
  <si>
    <t>100% board participation goal</t>
  </si>
  <si>
    <t>Annual gala (gross)</t>
  </si>
  <si>
    <t>Direct costs in Expenses → Event costs</t>
  </si>
  <si>
    <t>Program service fees</t>
  </si>
  <si>
    <t>Workshops &amp; training</t>
  </si>
  <si>
    <t>Interest &amp; investment income</t>
  </si>
  <si>
    <t>Category names (use exactly these so totals roll up):</t>
  </si>
  <si>
    <t>Status guide: Committed = signed/awarded · Pending = request submitted · Prospective = planned/estimated</t>
  </si>
  <si>
    <t>Expense Budget (Functional Allocation)</t>
  </si>
  <si>
    <t>Line Item</t>
  </si>
  <si>
    <t>M&amp;G %</t>
  </si>
  <si>
    <t>M&amp;G $</t>
  </si>
  <si>
    <t>Fundraising $</t>
  </si>
  <si>
    <t>Personnel</t>
  </si>
  <si>
    <t>Auto-filled from Personnel sheet</t>
  </si>
  <si>
    <t>Occupancy</t>
  </si>
  <si>
    <t>Rent</t>
  </si>
  <si>
    <t>Utilities</t>
  </si>
  <si>
    <t>Program</t>
  </si>
  <si>
    <t>Program supplies &amp; materials</t>
  </si>
  <si>
    <t>Contract services / consultants</t>
  </si>
  <si>
    <t>Admin</t>
  </si>
  <si>
    <t>Professional fees (audit, legal)</t>
  </si>
  <si>
    <t>Annual audit if required by funders/state</t>
  </si>
  <si>
    <t>Insurance</t>
  </si>
  <si>
    <t>Technology &amp; software</t>
  </si>
  <si>
    <t>Includes donor CRM</t>
  </si>
  <si>
    <t>Printing &amp; postage</t>
  </si>
  <si>
    <t>Travel &amp; mileage</t>
  </si>
  <si>
    <t>Staff training &amp; development</t>
  </si>
  <si>
    <t>Event costs (gala direct expenses)</t>
  </si>
  <si>
    <t>Venue, catering, AV</t>
  </si>
  <si>
    <t>Marketing &amp; communications</t>
  </si>
  <si>
    <t>Bank &amp; payment processing fees</t>
  </si>
  <si>
    <t>Dues &amp; subscriptions</t>
  </si>
  <si>
    <t>Depreciation</t>
  </si>
  <si>
    <t>Non-cash – excluded from Cash Flow</t>
  </si>
  <si>
    <t>Contingency</t>
  </si>
  <si>
    <t>~1% cushion for unexpected costs</t>
  </si>
  <si>
    <t>Monthly Cash Flow Projection</t>
  </si>
  <si>
    <t>Annual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</si>
  <si>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</si>
  <si>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</si>
  <si>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</si>
  <si>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</si>
  <si>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</si>
  <si>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</si>
  <si>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</si>
  <si>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</si>
  <si>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</si>
  <si>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</si>
  <si>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</si>
  <si>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</si>
  <si>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Timing assumptions (% of annual amount each month)</t>
  </si>
  <si>
    <t>Expenses (cash)</t>
  </si>
  <si>
    <t>Cash flow</t>
  </si>
  <si>
    <t>Beginning cash</t>
  </si>
  <si>
    <t>Total cash in</t>
  </si>
  <si>
    <t>Non-personnel (excl. depreciation)</t>
  </si>
  <si>
    <t>Total cash out</t>
  </si>
  <si>
    <t>Net cash flow</t>
  </si>
  <si>
    <t>Ending cash</t>
  </si>
  <si>
    <t>Lowest month-end cash</t>
  </si>
  <si>
    <t>Note: event costs are spread evenly here; move them to the event month by editing the Expenses timing row if you want more precision.</t>
  </si>
  <si>
    <t>Programs Associate</t>
  </si>
  <si>
    <t>Annual Salary</t>
  </si>
  <si>
    <t>Change vs PY - %</t>
  </si>
  <si>
    <t>Change vs PY - $</t>
  </si>
  <si>
    <t>Change in Cash</t>
  </si>
  <si>
    <t>Ending Cash</t>
  </si>
  <si>
    <t>Months of cash on hand at end</t>
  </si>
  <si>
    <t>Key Performance Indicators</t>
  </si>
  <si>
    <t>100% Role Filled during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</si>
</sst>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%;\(0.0%\);\-"/>
    <numFmt numFmtId="165" formatCode="\$#,##0;&quot;($&quot;#,##0\);\-"/>
    <numFmt numFmtId="166" formatCode="0.0"/>
    <numFmt numFmtId="167" formatCode="\$0.00"/>
    <numFmt numFmtId="168" formatCode="_(* #,##0_);_(* \(#,##0\);_(* &quot;-&quot;??_);_(@_)"/>
  </numFmts>
  <fonts count="16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1"/>
      <color rgb="FF008000"/>
      <name val="Arial"/>
      <family val="2"/>
    </font>
    <font>
      <b/>
      <sz val="14"/>
      <color rgb="FF008000"/>
      <name val="Arial"/>
      <family val="2"/>
    </font>
    <font>
      <b/>
      <sz val="12"/>
      <color rgb="FF008000"/>
      <name val="Arial"/>
      <family val="2"/>
    </font>
    <font>
      <b/>
      <sz val="11"/>
      <color rgb="FFFFFFFF"/>
      <name val="Arial"/>
      <family val="2"/>
    </font>
    <font>
      <b/>
      <sz val="12"/>
      <name val="Arial"/>
      <family val="2"/>
    </font>
    <font>
      <i/>
      <sz val="11"/>
      <color rgb="FF666666"/>
      <name val="Arial"/>
      <family val="2"/>
    </font>
    <font>
      <b/>
      <sz val="11"/>
      <color rgb="FFFFFF00"/>
      <name val="Arial"/>
      <family val="2"/>
    </font>
    <font>
      <sz val="11"/>
      <color theme="1"/>
      <name val="Calibri"/>
      <family val="2"/>
      <charset val="1"/>
    </font>
    <font>
      <sz val="9"/>
      <color indexed="81"/>
      <name val="Tahoma"/>
      <charset val="1"/>
    </font>
    <font>
      <b/>
      <sz val="11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4E78"/>
        <bgColor rgb="FF003366"/>
      </patternFill>
    </fill>
    <fill>
      <patternFill patternType="solid">
        <fgColor rgb="FFF2F2F2"/>
        <bgColor rgb="FFDDEBF7"/>
      </patternFill>
    </fill>
    <fill>
      <patternFill patternType="solid">
        <fgColor rgb="FFDDEBF7"/>
        <bgColor rgb="FFF2F2F2"/>
      </patternFill>
    </fill>
  </fills>
  <borders count="4">
    <border>
      <left/>
      <right/>
      <top/>
      <bottom/>
      <diagonal/>
    </border>
    <border>
      <left/>
      <right/>
      <top style="thin">
        <color rgb="FF999999"/>
      </top>
      <bottom/>
      <diagonal/>
    </border>
    <border>
      <left/>
      <right/>
      <top style="thin">
        <color rgb="FF999999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164" fontId="5" fillId="2" borderId="0" xfId="0" applyNumberFormat="1" applyFont="1" applyFill="1"/>
    <xf numFmtId="165" fontId="5" fillId="2" borderId="0" xfId="0" applyNumberFormat="1" applyFont="1" applyFill="1"/>
    <xf numFmtId="166" fontId="5" fillId="2" borderId="0" xfId="0" applyNumberFormat="1" applyFont="1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0" xfId="0" applyFont="1" applyFill="1" applyAlignment="1">
      <alignment horizontal="center" vertical="center" wrapText="1"/>
    </xf>
    <xf numFmtId="165" fontId="6" fillId="0" borderId="0" xfId="0" applyNumberFormat="1" applyFont="1"/>
    <xf numFmtId="164" fontId="4" fillId="0" borderId="0" xfId="0" applyNumberFormat="1" applyFont="1"/>
    <xf numFmtId="0" fontId="3" fillId="4" borderId="1" xfId="0" applyFont="1" applyFill="1" applyBorder="1"/>
    <xf numFmtId="165" fontId="3" fillId="4" borderId="1" xfId="0" applyNumberFormat="1" applyFont="1" applyFill="1" applyBorder="1"/>
    <xf numFmtId="164" fontId="3" fillId="4" borderId="1" xfId="0" applyNumberFormat="1" applyFont="1" applyFill="1" applyBorder="1"/>
    <xf numFmtId="0" fontId="10" fillId="2" borderId="2" xfId="0" applyFont="1" applyFill="1" applyBorder="1"/>
    <xf numFmtId="165" fontId="10" fillId="2" borderId="2" xfId="0" applyNumberFormat="1" applyFont="1" applyFill="1" applyBorder="1"/>
    <xf numFmtId="164" fontId="3" fillId="2" borderId="2" xfId="0" applyNumberFormat="1" applyFont="1" applyFill="1" applyBorder="1"/>
    <xf numFmtId="0" fontId="3" fillId="5" borderId="0" xfId="0" applyFont="1" applyFill="1"/>
    <xf numFmtId="0" fontId="11" fillId="0" borderId="0" xfId="0" applyFont="1"/>
    <xf numFmtId="167" fontId="4" fillId="0" borderId="0" xfId="0" applyNumberFormat="1" applyFont="1"/>
    <xf numFmtId="165" fontId="4" fillId="0" borderId="0" xfId="0" applyNumberFormat="1" applyFont="1"/>
    <xf numFmtId="166" fontId="4" fillId="0" borderId="0" xfId="0" applyNumberFormat="1" applyFont="1"/>
    <xf numFmtId="2" fontId="5" fillId="0" borderId="0" xfId="0" applyNumberFormat="1" applyFont="1"/>
    <xf numFmtId="165" fontId="5" fillId="0" borderId="0" xfId="0" applyNumberFormat="1" applyFont="1"/>
    <xf numFmtId="164" fontId="5" fillId="0" borderId="0" xfId="0" applyNumberFormat="1" applyFont="1"/>
    <xf numFmtId="2" fontId="3" fillId="4" borderId="1" xfId="0" applyNumberFormat="1" applyFont="1" applyFill="1" applyBorder="1"/>
    <xf numFmtId="0" fontId="4" fillId="4" borderId="1" xfId="0" applyFont="1" applyFill="1" applyBorder="1"/>
    <xf numFmtId="0" fontId="3" fillId="4" borderId="2" xfId="0" applyFont="1" applyFill="1" applyBorder="1"/>
    <xf numFmtId="0" fontId="0" fillId="4" borderId="0" xfId="0" applyFill="1"/>
    <xf numFmtId="165" fontId="3" fillId="4" borderId="2" xfId="0" applyNumberFormat="1" applyFont="1" applyFill="1" applyBorder="1"/>
    <xf numFmtId="164" fontId="3" fillId="4" borderId="2" xfId="0" applyNumberFormat="1" applyFont="1" applyFill="1" applyBorder="1"/>
    <xf numFmtId="0" fontId="12" fillId="3" borderId="0" xfId="0" applyFont="1" applyFill="1" applyAlignment="1">
      <alignment horizontal="center" vertical="center" wrapText="1"/>
    </xf>
    <xf numFmtId="0" fontId="3" fillId="0" borderId="1" xfId="0" applyFont="1" applyBorder="1"/>
    <xf numFmtId="165" fontId="3" fillId="0" borderId="1" xfId="0" applyNumberFormat="1" applyFont="1" applyBorder="1"/>
    <xf numFmtId="165" fontId="3" fillId="0" borderId="0" xfId="0" applyNumberFormat="1" applyFont="1"/>
    <xf numFmtId="168" fontId="4" fillId="0" borderId="0" xfId="1" applyNumberFormat="1" applyFont="1"/>
    <xf numFmtId="9" fontId="4" fillId="0" borderId="0" xfId="2" applyFont="1"/>
    <xf numFmtId="9" fontId="3" fillId="4" borderId="2" xfId="2" applyFont="1" applyFill="1" applyBorder="1"/>
    <xf numFmtId="0" fontId="4" fillId="0" borderId="3" xfId="0" applyFont="1" applyBorder="1"/>
    <xf numFmtId="165" fontId="4" fillId="0" borderId="3" xfId="0" applyNumberFormat="1" applyFont="1" applyBorder="1"/>
    <xf numFmtId="165" fontId="15" fillId="0" borderId="0" xfId="0" applyNumberFormat="1" applyFont="1"/>
    <xf numFmtId="9" fontId="5" fillId="0" borderId="0" xfId="2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showGridLines="0" zoomScaleNormal="100" workbookViewId="0">
      <selection activeCell="B11" sqref="B11"/>
    </sheetView>
  </sheetViews>
  <sheetFormatPr defaultColWidth="8.6640625" defaultRowHeight="14.4" x14ac:dyDescent="0.3"/>
  <cols>
    <col min="1" max="1" width="48" customWidth="1"/>
    <col min="2" max="2" width="28" customWidth="1"/>
  </cols>
  <sheetData>
    <row r="1" spans="1:2" ht="17.399999999999999" x14ac:dyDescent="0.3">
      <c r="A1" s="1" t="s">
        <v>0</v>
      </c>
    </row>
    <row r="3" spans="1:2" x14ac:dyDescent="0.3">
      <c r="A3" s="2" t="s">
        <v>1</v>
      </c>
    </row>
    <row r="5" spans="1:2" x14ac:dyDescent="0.3">
      <c r="A5" s="3" t="s">
        <v>2</v>
      </c>
      <c r="B5" s="4" t="s">
        <v>3</v>
      </c>
    </row>
    <row r="6" spans="1:2" x14ac:dyDescent="0.3">
      <c r="A6" s="3" t="s">
        <v>4</v>
      </c>
      <c r="B6" s="4" t="s">
        <v>5</v>
      </c>
    </row>
    <row r="7" spans="1:2" x14ac:dyDescent="0.3">
      <c r="A7" s="3" t="s">
        <v>6</v>
      </c>
      <c r="B7" s="4" t="s">
        <v>7</v>
      </c>
    </row>
    <row r="8" spans="1:2" x14ac:dyDescent="0.3">
      <c r="A8" s="3" t="s">
        <v>8</v>
      </c>
      <c r="B8" s="4" t="s">
        <v>9</v>
      </c>
    </row>
    <row r="9" spans="1:2" x14ac:dyDescent="0.3">
      <c r="A9" s="3" t="s">
        <v>10</v>
      </c>
      <c r="B9" s="5">
        <v>0.17299999999999999</v>
      </c>
    </row>
    <row r="10" spans="1:2" x14ac:dyDescent="0.3">
      <c r="A10" s="3" t="s">
        <v>11</v>
      </c>
      <c r="B10" s="5">
        <v>7.6499999999999999E-2</v>
      </c>
    </row>
    <row r="11" spans="1:2" x14ac:dyDescent="0.3">
      <c r="A11" s="3" t="s">
        <v>12</v>
      </c>
      <c r="B11" s="6">
        <v>250000</v>
      </c>
    </row>
    <row r="12" spans="1:2" x14ac:dyDescent="0.3">
      <c r="A12" s="3" t="s">
        <v>13</v>
      </c>
      <c r="B12" s="7">
        <v>3</v>
      </c>
    </row>
    <row r="15" spans="1:2" x14ac:dyDescent="0.3">
      <c r="A15" s="2" t="s">
        <v>14</v>
      </c>
    </row>
    <row r="16" spans="1:2" x14ac:dyDescent="0.3">
      <c r="A16" s="4" t="s">
        <v>15</v>
      </c>
    </row>
    <row r="17" spans="1:1" x14ac:dyDescent="0.3">
      <c r="A17" s="8" t="s">
        <v>16</v>
      </c>
    </row>
    <row r="18" spans="1:1" x14ac:dyDescent="0.3">
      <c r="A18" s="3" t="s">
        <v>17</v>
      </c>
    </row>
    <row r="19" spans="1:1" x14ac:dyDescent="0.3">
      <c r="A19" s="9" t="s">
        <v>18</v>
      </c>
    </row>
    <row r="21" spans="1:1" x14ac:dyDescent="0.3">
      <c r="A21" s="2" t="s">
        <v>19</v>
      </c>
    </row>
    <row r="22" spans="1:1" x14ac:dyDescent="0.3">
      <c r="A22" s="3" t="s">
        <v>20</v>
      </c>
    </row>
    <row r="23" spans="1:1" x14ac:dyDescent="0.3">
      <c r="A23" s="3" t="s">
        <v>21</v>
      </c>
    </row>
    <row r="24" spans="1:1" x14ac:dyDescent="0.3">
      <c r="A24" s="3" t="s">
        <v>22</v>
      </c>
    </row>
    <row r="25" spans="1:1" x14ac:dyDescent="0.3">
      <c r="A25" s="3" t="s">
        <v>23</v>
      </c>
    </row>
    <row r="26" spans="1:1" x14ac:dyDescent="0.3">
      <c r="A26" s="3" t="s">
        <v>24</v>
      </c>
    </row>
    <row r="27" spans="1:1" x14ac:dyDescent="0.3">
      <c r="A27" s="3" t="s">
        <v>25</v>
      </c>
    </row>
    <row r="28" spans="1:1" x14ac:dyDescent="0.3">
      <c r="A28" s="3" t="s">
        <v>26</v>
      </c>
    </row>
    <row r="29" spans="1:1" x14ac:dyDescent="0.3">
      <c r="A29" s="3" t="s">
        <v>27</v>
      </c>
    </row>
    <row r="30" spans="1:1" x14ac:dyDescent="0.3">
      <c r="A30" s="3" t="s">
        <v>28</v>
      </c>
    </row>
  </sheetData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5"/>
  <sheetViews>
    <sheetView showGridLines="0" tabSelected="1" zoomScaleNormal="100" workbookViewId="0"/>
  </sheetViews>
  <sheetFormatPr defaultColWidth="8.6640625" defaultRowHeight="14.4" x14ac:dyDescent="0.3"/>
  <cols>
    <col min="1" max="1" width="40" customWidth="1"/>
    <col min="2" max="3" width="16" customWidth="1"/>
    <col min="4" max="4" width="12" customWidth="1"/>
    <col min="5" max="5" width="16" customWidth="1"/>
  </cols>
  <sheetData>
    <row r="1" spans="1:5" ht="17.399999999999999" x14ac:dyDescent="0.3">
      <c r="A1" s="10" t="str">
        <f>Setup!B5</f>
        <v>Sample Community Nonprofit</v>
      </c>
    </row>
    <row r="2" spans="1:5" ht="15.6" x14ac:dyDescent="0.3">
      <c r="A2" s="11" t="str">
        <f>"Annual Operating Budget – "&amp;Setup!B6</f>
        <v>Annual Operating Budget – FY2027</v>
      </c>
    </row>
    <row r="4" spans="1:5" x14ac:dyDescent="0.3">
      <c r="A4" s="12" t="s">
        <v>29</v>
      </c>
      <c r="B4" s="12" t="s">
        <v>30</v>
      </c>
      <c r="C4" s="12" t="s">
        <v>31</v>
      </c>
      <c r="D4" s="12" t="s">
        <v>32</v>
      </c>
      <c r="E4" s="12" t="s">
        <v>33</v>
      </c>
    </row>
    <row r="5" spans="1:5" x14ac:dyDescent="0.3">
      <c r="A5" s="3" t="s">
        <v>34</v>
      </c>
      <c r="B5" s="13">
        <f>SUMIF(Revenue!$A$5:$A$20,$A5,Revenue!$C$5:$C$20)</f>
        <v>360000</v>
      </c>
      <c r="C5" s="13">
        <f>SUMIF(Revenue!$A$5:$A$20,$A5,Revenue!$D$5:$D$20)</f>
        <v>410000</v>
      </c>
      <c r="D5" s="14">
        <f>IFERROR(C5/$C$10,0)</f>
        <v>0.36771300448430494</v>
      </c>
      <c r="E5" s="13">
        <f>SUMIF(Revenue!$A$5:$A$20,$A5,Revenue!$I$5:$I$20)</f>
        <v>307500</v>
      </c>
    </row>
    <row r="6" spans="1:5" x14ac:dyDescent="0.3">
      <c r="A6" s="3" t="s">
        <v>35</v>
      </c>
      <c r="B6" s="13">
        <f>SUMIF(Revenue!$A$5:$A$20,$A6,Revenue!$C$5:$C$20)</f>
        <v>368000</v>
      </c>
      <c r="C6" s="13">
        <f>SUMIF(Revenue!$A$5:$A$20,$A6,Revenue!$D$5:$D$20)</f>
        <v>420000</v>
      </c>
      <c r="D6" s="14">
        <f>IFERROR(C6/$C$10,0)</f>
        <v>0.37668161434977576</v>
      </c>
      <c r="E6" s="13">
        <f>SUMIF(Revenue!$A$5:$A$20,$A6,Revenue!$I$5:$I$20)</f>
        <v>357000</v>
      </c>
    </row>
    <row r="7" spans="1:5" x14ac:dyDescent="0.3">
      <c r="A7" s="3" t="s">
        <v>36</v>
      </c>
      <c r="B7" s="13">
        <f>SUMIF(Revenue!$A$5:$A$20,$A7,Revenue!$C$5:$C$20)</f>
        <v>135000</v>
      </c>
      <c r="C7" s="13">
        <f>SUMIF(Revenue!$A$5:$A$20,$A7,Revenue!$D$5:$D$20)</f>
        <v>150000</v>
      </c>
      <c r="D7" s="14">
        <f>IFERROR(C7/$C$10,0)</f>
        <v>0.13452914798206278</v>
      </c>
      <c r="E7" s="13">
        <f>SUMIF(Revenue!$A$5:$A$20,$A7,Revenue!$I$5:$I$20)</f>
        <v>120000</v>
      </c>
    </row>
    <row r="8" spans="1:5" x14ac:dyDescent="0.3">
      <c r="A8" s="3" t="s">
        <v>37</v>
      </c>
      <c r="B8" s="13">
        <f>SUMIF(Revenue!$A$5:$A$20,$A8,Revenue!$C$5:$C$20)</f>
        <v>117000</v>
      </c>
      <c r="C8" s="13">
        <f>SUMIF(Revenue!$A$5:$A$20,$A8,Revenue!$D$5:$D$20)</f>
        <v>130000</v>
      </c>
      <c r="D8" s="14">
        <f>IFERROR(C8/$C$10,0)</f>
        <v>0.11659192825112108</v>
      </c>
      <c r="E8" s="13">
        <f>SUMIF(Revenue!$A$5:$A$20,$A8,Revenue!$I$5:$I$20)</f>
        <v>111000</v>
      </c>
    </row>
    <row r="9" spans="1:5" x14ac:dyDescent="0.3">
      <c r="A9" s="3" t="s">
        <v>38</v>
      </c>
      <c r="B9" s="13">
        <f>SUMIF(Revenue!$A$5:$A$20,$A9,Revenue!$C$5:$C$20)</f>
        <v>4000</v>
      </c>
      <c r="C9" s="13">
        <f>SUMIF(Revenue!$A$5:$A$20,$A9,Revenue!$D$5:$D$20)</f>
        <v>5000</v>
      </c>
      <c r="D9" s="14">
        <f>IFERROR(C9/$C$10,0)</f>
        <v>4.4843049327354259E-3</v>
      </c>
      <c r="E9" s="13">
        <f>SUMIF(Revenue!$A$5:$A$20,$A9,Revenue!$I$5:$I$20)</f>
        <v>4500</v>
      </c>
    </row>
    <row r="10" spans="1:5" x14ac:dyDescent="0.3">
      <c r="A10" s="15" t="s">
        <v>39</v>
      </c>
      <c r="B10" s="16">
        <f>SUM(B5:B9)</f>
        <v>984000</v>
      </c>
      <c r="C10" s="16">
        <f>SUM(C5:C9)</f>
        <v>1115000</v>
      </c>
      <c r="D10" s="17">
        <f>SUM(D5:D9)</f>
        <v>0.99999999999999989</v>
      </c>
      <c r="E10" s="16">
        <f>SUM(E5:E9)</f>
        <v>900000</v>
      </c>
    </row>
    <row r="11" spans="1:5" x14ac:dyDescent="0.3">
      <c r="A11" s="3" t="s">
        <v>40</v>
      </c>
      <c r="C11" s="3" t="str">
        <f>IF(ABS(C10-Revenue!D21)&lt;1,"OK","Uncategorized revenue – check Category names")</f>
        <v>OK</v>
      </c>
    </row>
    <row r="13" spans="1:5" x14ac:dyDescent="0.3">
      <c r="A13" s="12" t="s">
        <v>41</v>
      </c>
      <c r="B13" s="12" t="s">
        <v>30</v>
      </c>
      <c r="C13" s="12" t="s">
        <v>31</v>
      </c>
      <c r="D13" s="12" t="s">
        <v>32</v>
      </c>
      <c r="E13" s="12"/>
    </row>
    <row r="14" spans="1:5" x14ac:dyDescent="0.3">
      <c r="A14" s="9" t="str">
        <f>Setup!$B$7</f>
        <v>Youth Education</v>
      </c>
      <c r="B14" s="27">
        <v>388855.38585209008</v>
      </c>
      <c r="C14" s="13">
        <f>Expenses!K27</f>
        <v>430419.5</v>
      </c>
      <c r="D14" s="14">
        <f>IFERROR(C14/$C$18,0)</f>
        <v>0.40665210759353448</v>
      </c>
    </row>
    <row r="15" spans="1:5" x14ac:dyDescent="0.3">
      <c r="A15" s="9" t="str">
        <f>Setup!$B$8</f>
        <v>Family Services</v>
      </c>
      <c r="B15" s="27">
        <v>337148.47266881028</v>
      </c>
      <c r="C15" s="13">
        <f>Expenses!L27</f>
        <v>371534</v>
      </c>
      <c r="D15" s="14">
        <f>IFERROR(C15/$C$18,0)</f>
        <v>0.35101821395790905</v>
      </c>
    </row>
    <row r="16" spans="1:5" x14ac:dyDescent="0.3">
      <c r="A16" s="3" t="s">
        <v>42</v>
      </c>
      <c r="B16" s="27">
        <v>93879.903536977479</v>
      </c>
      <c r="C16" s="13">
        <f>Expenses!M27</f>
        <v>107660.25</v>
      </c>
      <c r="D16" s="14">
        <f>IFERROR(C16/$C$18,0)</f>
        <v>0.10171534413879209</v>
      </c>
    </row>
    <row r="17" spans="1:5" x14ac:dyDescent="0.3">
      <c r="A17" s="3" t="s">
        <v>43</v>
      </c>
      <c r="B17" s="27">
        <v>133316.23794212218</v>
      </c>
      <c r="C17" s="13">
        <f>Expenses!N27</f>
        <v>148832.75</v>
      </c>
      <c r="D17" s="14">
        <f>IFERROR(C17/$C$18,0)</f>
        <v>0.14061433430976436</v>
      </c>
    </row>
    <row r="18" spans="1:5" x14ac:dyDescent="0.3">
      <c r="A18" s="15" t="s">
        <v>44</v>
      </c>
      <c r="B18" s="16">
        <f>SUM(B14:B17)</f>
        <v>953200</v>
      </c>
      <c r="C18" s="16">
        <f>SUM(C14:C17)</f>
        <v>1058446.5</v>
      </c>
      <c r="D18" s="17">
        <f>SUM(D14:D17)</f>
        <v>1</v>
      </c>
    </row>
    <row r="20" spans="1:5" ht="15.6" x14ac:dyDescent="0.3">
      <c r="A20" s="18" t="s">
        <v>45</v>
      </c>
      <c r="B20" s="19">
        <f>B10-B18</f>
        <v>30800</v>
      </c>
      <c r="C20" s="19">
        <f>C10-C18</f>
        <v>56553.5</v>
      </c>
      <c r="D20" s="20">
        <f>IFERROR(C20/C10,0)</f>
        <v>5.0720627802690585E-2</v>
      </c>
      <c r="E20" s="19">
        <f>E10-C18</f>
        <v>-158446.5</v>
      </c>
    </row>
    <row r="22" spans="1:5" x14ac:dyDescent="0.3">
      <c r="A22" s="21" t="s">
        <v>177</v>
      </c>
    </row>
    <row r="23" spans="1:5" x14ac:dyDescent="0.3">
      <c r="A23" s="3" t="s">
        <v>46</v>
      </c>
      <c r="B23" s="14">
        <f>IFERROR((C14+C15)/C18,0)</f>
        <v>0.75767032155144354</v>
      </c>
      <c r="C23" s="22" t="s">
        <v>47</v>
      </c>
    </row>
    <row r="24" spans="1:5" x14ac:dyDescent="0.3">
      <c r="A24" s="3" t="s">
        <v>48</v>
      </c>
      <c r="B24" s="23">
        <f>IFERROR(C17/SUM(C5:C7),0)</f>
        <v>0.15187015306122448</v>
      </c>
      <c r="C24" s="22" t="s">
        <v>49</v>
      </c>
    </row>
    <row r="25" spans="1:5" x14ac:dyDescent="0.3">
      <c r="A25" s="3" t="s">
        <v>50</v>
      </c>
      <c r="B25" s="14">
        <f>IFERROR(C10/B10-1,0)</f>
        <v>0.13313008130081294</v>
      </c>
      <c r="C25" s="22"/>
    </row>
    <row r="26" spans="1:5" x14ac:dyDescent="0.3">
      <c r="A26" s="3" t="s">
        <v>51</v>
      </c>
      <c r="B26" s="14">
        <f>IFERROR(C18/B18-1,0)</f>
        <v>0.11041386907259754</v>
      </c>
      <c r="C26" s="22"/>
    </row>
    <row r="27" spans="1:5" x14ac:dyDescent="0.3">
      <c r="A27" s="3" t="s">
        <v>52</v>
      </c>
      <c r="B27" s="24">
        <f>C18/12</f>
        <v>88203.875</v>
      </c>
      <c r="C27" s="22"/>
    </row>
    <row r="28" spans="1:5" x14ac:dyDescent="0.3">
      <c r="A28" s="3" t="s">
        <v>53</v>
      </c>
      <c r="B28" s="13">
        <f>Setup!B12*C18/12</f>
        <v>264611.625</v>
      </c>
      <c r="C28" s="22" t="s">
        <v>54</v>
      </c>
    </row>
    <row r="29" spans="1:5" x14ac:dyDescent="0.3">
      <c r="A29" s="3" t="s">
        <v>55</v>
      </c>
      <c r="B29" s="13">
        <f>Setup!B11</f>
        <v>250000</v>
      </c>
      <c r="C29" s="22"/>
    </row>
    <row r="30" spans="1:5" x14ac:dyDescent="0.3">
      <c r="A30" s="3" t="s">
        <v>174</v>
      </c>
      <c r="B30" s="24">
        <f>C20</f>
        <v>56553.5</v>
      </c>
      <c r="C30" s="22"/>
    </row>
    <row r="31" spans="1:5" x14ac:dyDescent="0.3">
      <c r="A31" s="42" t="s">
        <v>175</v>
      </c>
      <c r="B31" s="43">
        <f>B29+B30</f>
        <v>306553.5</v>
      </c>
      <c r="C31" s="22"/>
    </row>
    <row r="32" spans="1:5" x14ac:dyDescent="0.3">
      <c r="A32" s="3" t="s">
        <v>56</v>
      </c>
      <c r="B32" s="25">
        <f>IFERROR(B29/B27,0)</f>
        <v>2.834342595492545</v>
      </c>
      <c r="C32" s="22"/>
    </row>
    <row r="33" spans="1:3" x14ac:dyDescent="0.3">
      <c r="A33" s="3" t="s">
        <v>176</v>
      </c>
      <c r="B33" s="25">
        <f>B31/B27</f>
        <v>3.4755105713892958</v>
      </c>
      <c r="C33" s="22"/>
    </row>
    <row r="34" spans="1:3" x14ac:dyDescent="0.3">
      <c r="A34" s="3" t="s">
        <v>57</v>
      </c>
      <c r="B34" s="13">
        <f>'Cash Flow'!B28</f>
        <v>151065.12500000017</v>
      </c>
      <c r="C34" s="22" t="s">
        <v>58</v>
      </c>
    </row>
    <row r="35" spans="1:3" x14ac:dyDescent="0.3">
      <c r="A35" s="3" t="s">
        <v>59</v>
      </c>
      <c r="B35" s="9" t="str">
        <f>'Cash Flow'!B29</f>
        <v>Sep</v>
      </c>
      <c r="C35" s="22"/>
    </row>
  </sheetData>
  <pageMargins left="0.25" right="0.25" top="0.75" bottom="0.75" header="0.3" footer="0.3"/>
  <pageSetup paperSize="9" scale="95" orientation="landscape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0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5" sqref="B15"/>
    </sheetView>
  </sheetViews>
  <sheetFormatPr defaultColWidth="8.6640625" defaultRowHeight="14.4" x14ac:dyDescent="0.3"/>
  <cols>
    <col min="1" max="1" width="30" customWidth="1"/>
    <col min="2" max="2" width="42" customWidth="1"/>
    <col min="3" max="5" width="16" customWidth="1"/>
    <col min="6" max="6" width="12" customWidth="1"/>
    <col min="7" max="7" width="13" customWidth="1"/>
    <col min="8" max="8" width="12" customWidth="1"/>
    <col min="9" max="9" width="15" customWidth="1"/>
    <col min="10" max="10" width="11" customWidth="1"/>
    <col min="11" max="11" width="40" customWidth="1"/>
  </cols>
  <sheetData>
    <row r="1" spans="1:11" ht="17.399999999999999" x14ac:dyDescent="0.3">
      <c r="A1" s="1" t="s">
        <v>80</v>
      </c>
    </row>
    <row r="2" spans="1:11" x14ac:dyDescent="0.3">
      <c r="A2" s="9" t="str">
        <f>Setup!B5&amp;" – "&amp;Setup!B6</f>
        <v>Sample Community Nonprofit – FY2027</v>
      </c>
    </row>
    <row r="4" spans="1:11" ht="31.5" customHeight="1" x14ac:dyDescent="0.3">
      <c r="A4" s="12" t="s">
        <v>81</v>
      </c>
      <c r="B4" s="12" t="s">
        <v>82</v>
      </c>
      <c r="C4" s="12" t="s">
        <v>83</v>
      </c>
      <c r="D4" s="12" t="s">
        <v>31</v>
      </c>
      <c r="E4" s="12" t="s">
        <v>173</v>
      </c>
      <c r="F4" s="12" t="s">
        <v>172</v>
      </c>
      <c r="G4" s="12" t="s">
        <v>84</v>
      </c>
      <c r="H4" s="12" t="s">
        <v>85</v>
      </c>
      <c r="I4" s="12" t="s">
        <v>33</v>
      </c>
      <c r="J4" s="12" t="s">
        <v>86</v>
      </c>
      <c r="K4" s="12" t="s">
        <v>66</v>
      </c>
    </row>
    <row r="5" spans="1:11" x14ac:dyDescent="0.3">
      <c r="A5" s="8" t="s">
        <v>34</v>
      </c>
      <c r="B5" s="8" t="s">
        <v>87</v>
      </c>
      <c r="C5" s="27">
        <v>140000</v>
      </c>
      <c r="D5" s="27">
        <v>150000</v>
      </c>
      <c r="E5" s="24">
        <f>D5-C5</f>
        <v>10000</v>
      </c>
      <c r="F5" s="14">
        <f t="shared" ref="F5:F21" si="0">IFERROR(D5/C5-1,0)</f>
        <v>7.1428571428571397E-2</v>
      </c>
      <c r="G5" s="8" t="s">
        <v>88</v>
      </c>
      <c r="H5" s="28">
        <v>1</v>
      </c>
      <c r="I5" s="24">
        <f t="shared" ref="I5:I20" si="1">D5*H5</f>
        <v>150000</v>
      </c>
      <c r="J5" s="8" t="s">
        <v>89</v>
      </c>
      <c r="K5" s="8" t="s">
        <v>90</v>
      </c>
    </row>
    <row r="6" spans="1:11" x14ac:dyDescent="0.3">
      <c r="A6" s="8" t="s">
        <v>34</v>
      </c>
      <c r="B6" s="8" t="s">
        <v>91</v>
      </c>
      <c r="C6" s="27">
        <v>110000</v>
      </c>
      <c r="D6" s="27">
        <v>125000</v>
      </c>
      <c r="E6" s="24">
        <f t="shared" ref="E6:E16" si="2">D6-C6</f>
        <v>15000</v>
      </c>
      <c r="F6" s="14">
        <f t="shared" si="0"/>
        <v>0.13636363636363646</v>
      </c>
      <c r="G6" s="8" t="s">
        <v>92</v>
      </c>
      <c r="H6" s="28">
        <v>0.6</v>
      </c>
      <c r="I6" s="24">
        <f t="shared" si="1"/>
        <v>75000</v>
      </c>
      <c r="J6" s="8" t="s">
        <v>93</v>
      </c>
      <c r="K6" s="8" t="s">
        <v>94</v>
      </c>
    </row>
    <row r="7" spans="1:11" x14ac:dyDescent="0.3">
      <c r="A7" s="8" t="s">
        <v>34</v>
      </c>
      <c r="B7" s="8" t="s">
        <v>95</v>
      </c>
      <c r="C7" s="27">
        <v>60000</v>
      </c>
      <c r="D7" s="27">
        <v>75000</v>
      </c>
      <c r="E7" s="24">
        <f t="shared" si="2"/>
        <v>15000</v>
      </c>
      <c r="F7" s="14">
        <f t="shared" si="0"/>
        <v>0.25</v>
      </c>
      <c r="G7" s="8" t="s">
        <v>92</v>
      </c>
      <c r="H7" s="28">
        <v>0.7</v>
      </c>
      <c r="I7" s="24">
        <f t="shared" si="1"/>
        <v>52500</v>
      </c>
      <c r="J7" s="8" t="s">
        <v>93</v>
      </c>
      <c r="K7" s="8" t="s">
        <v>96</v>
      </c>
    </row>
    <row r="8" spans="1:11" x14ac:dyDescent="0.3">
      <c r="A8" s="8" t="s">
        <v>34</v>
      </c>
      <c r="B8" s="8" t="s">
        <v>97</v>
      </c>
      <c r="C8" s="27">
        <v>50000</v>
      </c>
      <c r="D8" s="27">
        <v>60000</v>
      </c>
      <c r="E8" s="24">
        <f t="shared" si="2"/>
        <v>10000</v>
      </c>
      <c r="F8" s="14">
        <f t="shared" si="0"/>
        <v>0.19999999999999996</v>
      </c>
      <c r="G8" s="8" t="s">
        <v>98</v>
      </c>
      <c r="H8" s="28">
        <v>0.5</v>
      </c>
      <c r="I8" s="24">
        <f t="shared" si="1"/>
        <v>30000</v>
      </c>
      <c r="J8" s="8" t="s">
        <v>99</v>
      </c>
      <c r="K8" s="8"/>
    </row>
    <row r="9" spans="1:11" x14ac:dyDescent="0.3">
      <c r="A9" s="8" t="s">
        <v>35</v>
      </c>
      <c r="B9" s="8" t="s">
        <v>100</v>
      </c>
      <c r="C9" s="27">
        <v>190000</v>
      </c>
      <c r="D9" s="27">
        <v>225000</v>
      </c>
      <c r="E9" s="24">
        <f t="shared" si="2"/>
        <v>35000</v>
      </c>
      <c r="F9" s="14">
        <f t="shared" si="0"/>
        <v>0.18421052631578938</v>
      </c>
      <c r="G9" s="8" t="s">
        <v>98</v>
      </c>
      <c r="H9" s="28">
        <v>0.8</v>
      </c>
      <c r="I9" s="24">
        <f t="shared" si="1"/>
        <v>180000</v>
      </c>
      <c r="J9" s="8" t="s">
        <v>89</v>
      </c>
      <c r="K9" s="8" t="s">
        <v>101</v>
      </c>
    </row>
    <row r="10" spans="1:11" x14ac:dyDescent="0.3">
      <c r="A10" s="8" t="s">
        <v>35</v>
      </c>
      <c r="B10" s="8" t="s">
        <v>102</v>
      </c>
      <c r="C10" s="27">
        <v>110000</v>
      </c>
      <c r="D10" s="27">
        <v>120000</v>
      </c>
      <c r="E10" s="24">
        <f t="shared" si="2"/>
        <v>10000</v>
      </c>
      <c r="F10" s="14">
        <f t="shared" si="0"/>
        <v>9.0909090909090828E-2</v>
      </c>
      <c r="G10" s="8" t="s">
        <v>98</v>
      </c>
      <c r="H10" s="28">
        <v>0.85</v>
      </c>
      <c r="I10" s="24">
        <f t="shared" si="1"/>
        <v>102000</v>
      </c>
      <c r="J10" s="8" t="s">
        <v>89</v>
      </c>
      <c r="K10" s="8" t="s">
        <v>103</v>
      </c>
    </row>
    <row r="11" spans="1:11" x14ac:dyDescent="0.3">
      <c r="A11" s="8" t="s">
        <v>35</v>
      </c>
      <c r="B11" s="8" t="s">
        <v>104</v>
      </c>
      <c r="C11" s="27">
        <v>40000</v>
      </c>
      <c r="D11" s="27">
        <v>45000</v>
      </c>
      <c r="E11" s="24">
        <f t="shared" si="2"/>
        <v>5000</v>
      </c>
      <c r="F11" s="14">
        <f t="shared" si="0"/>
        <v>0.125</v>
      </c>
      <c r="G11" s="8" t="s">
        <v>88</v>
      </c>
      <c r="H11" s="28">
        <v>1</v>
      </c>
      <c r="I11" s="24">
        <f t="shared" si="1"/>
        <v>45000</v>
      </c>
      <c r="J11" s="8" t="s">
        <v>89</v>
      </c>
      <c r="K11" s="8"/>
    </row>
    <row r="12" spans="1:11" x14ac:dyDescent="0.3">
      <c r="A12" s="8" t="s">
        <v>35</v>
      </c>
      <c r="B12" s="8" t="s">
        <v>105</v>
      </c>
      <c r="C12" s="27">
        <v>28000</v>
      </c>
      <c r="D12" s="27">
        <v>30000</v>
      </c>
      <c r="E12" s="24">
        <f t="shared" si="2"/>
        <v>2000</v>
      </c>
      <c r="F12" s="14">
        <f t="shared" si="0"/>
        <v>7.1428571428571397E-2</v>
      </c>
      <c r="G12" s="8" t="s">
        <v>88</v>
      </c>
      <c r="H12" s="28">
        <v>1</v>
      </c>
      <c r="I12" s="24">
        <f t="shared" si="1"/>
        <v>30000</v>
      </c>
      <c r="J12" s="8" t="s">
        <v>89</v>
      </c>
      <c r="K12" s="8" t="s">
        <v>106</v>
      </c>
    </row>
    <row r="13" spans="1:11" x14ac:dyDescent="0.3">
      <c r="A13" s="8" t="s">
        <v>36</v>
      </c>
      <c r="B13" s="8" t="s">
        <v>107</v>
      </c>
      <c r="C13" s="27">
        <v>135000</v>
      </c>
      <c r="D13" s="27">
        <v>150000</v>
      </c>
      <c r="E13" s="24">
        <f t="shared" si="2"/>
        <v>15000</v>
      </c>
      <c r="F13" s="14">
        <f t="shared" si="0"/>
        <v>0.11111111111111116</v>
      </c>
      <c r="G13" s="8" t="s">
        <v>98</v>
      </c>
      <c r="H13" s="28">
        <v>0.8</v>
      </c>
      <c r="I13" s="24">
        <f t="shared" si="1"/>
        <v>120000</v>
      </c>
      <c r="J13" s="8" t="s">
        <v>89</v>
      </c>
      <c r="K13" s="8" t="s">
        <v>108</v>
      </c>
    </row>
    <row r="14" spans="1:11" x14ac:dyDescent="0.3">
      <c r="A14" s="8" t="s">
        <v>37</v>
      </c>
      <c r="B14" s="8" t="s">
        <v>109</v>
      </c>
      <c r="C14" s="27">
        <v>85000</v>
      </c>
      <c r="D14" s="27">
        <v>90000</v>
      </c>
      <c r="E14" s="24">
        <f t="shared" si="2"/>
        <v>5000</v>
      </c>
      <c r="F14" s="14">
        <f t="shared" si="0"/>
        <v>5.8823529411764719E-2</v>
      </c>
      <c r="G14" s="8" t="s">
        <v>98</v>
      </c>
      <c r="H14" s="28">
        <v>0.9</v>
      </c>
      <c r="I14" s="24">
        <f t="shared" si="1"/>
        <v>81000</v>
      </c>
      <c r="J14" s="8" t="s">
        <v>89</v>
      </c>
      <c r="K14" s="8"/>
    </row>
    <row r="15" spans="1:11" x14ac:dyDescent="0.3">
      <c r="A15" s="8" t="s">
        <v>37</v>
      </c>
      <c r="B15" s="8" t="s">
        <v>110</v>
      </c>
      <c r="C15" s="27">
        <v>32000</v>
      </c>
      <c r="D15" s="27">
        <v>40000</v>
      </c>
      <c r="E15" s="24">
        <f t="shared" si="2"/>
        <v>8000</v>
      </c>
      <c r="F15" s="14">
        <f t="shared" si="0"/>
        <v>0.25</v>
      </c>
      <c r="G15" s="8" t="s">
        <v>98</v>
      </c>
      <c r="H15" s="28">
        <v>0.75</v>
      </c>
      <c r="I15" s="24">
        <f t="shared" si="1"/>
        <v>30000</v>
      </c>
      <c r="J15" s="8" t="s">
        <v>89</v>
      </c>
      <c r="K15" s="8"/>
    </row>
    <row r="16" spans="1:11" x14ac:dyDescent="0.3">
      <c r="A16" s="8" t="s">
        <v>38</v>
      </c>
      <c r="B16" s="8" t="s">
        <v>111</v>
      </c>
      <c r="C16" s="27">
        <v>4000</v>
      </c>
      <c r="D16" s="27">
        <v>5000</v>
      </c>
      <c r="E16" s="24">
        <f t="shared" si="2"/>
        <v>1000</v>
      </c>
      <c r="F16" s="14">
        <f t="shared" si="0"/>
        <v>0.25</v>
      </c>
      <c r="G16" s="8" t="s">
        <v>98</v>
      </c>
      <c r="H16" s="28">
        <v>0.9</v>
      </c>
      <c r="I16" s="24">
        <f t="shared" si="1"/>
        <v>4500</v>
      </c>
      <c r="J16" s="8" t="s">
        <v>89</v>
      </c>
      <c r="K16" s="8"/>
    </row>
    <row r="17" spans="1:11" x14ac:dyDescent="0.3">
      <c r="A17" s="8"/>
      <c r="B17" s="8"/>
      <c r="C17" s="27"/>
      <c r="D17" s="27"/>
      <c r="E17" s="27"/>
      <c r="F17" s="14">
        <f t="shared" si="0"/>
        <v>0</v>
      </c>
      <c r="G17" s="8"/>
      <c r="H17" s="28"/>
      <c r="I17" s="24">
        <f t="shared" si="1"/>
        <v>0</v>
      </c>
      <c r="J17" s="8"/>
      <c r="K17" s="8"/>
    </row>
    <row r="18" spans="1:11" x14ac:dyDescent="0.3">
      <c r="A18" s="8"/>
      <c r="B18" s="8"/>
      <c r="C18" s="27"/>
      <c r="D18" s="27"/>
      <c r="E18" s="27"/>
      <c r="F18" s="14">
        <f t="shared" si="0"/>
        <v>0</v>
      </c>
      <c r="G18" s="8"/>
      <c r="H18" s="28"/>
      <c r="I18" s="24">
        <f t="shared" si="1"/>
        <v>0</v>
      </c>
      <c r="J18" s="8"/>
      <c r="K18" s="8"/>
    </row>
    <row r="19" spans="1:11" x14ac:dyDescent="0.3">
      <c r="A19" s="8"/>
      <c r="B19" s="8"/>
      <c r="C19" s="27"/>
      <c r="D19" s="27"/>
      <c r="E19" s="27"/>
      <c r="F19" s="14">
        <f t="shared" si="0"/>
        <v>0</v>
      </c>
      <c r="G19" s="8"/>
      <c r="H19" s="28"/>
      <c r="I19" s="24">
        <f t="shared" si="1"/>
        <v>0</v>
      </c>
      <c r="J19" s="8"/>
      <c r="K19" s="8"/>
    </row>
    <row r="20" spans="1:11" x14ac:dyDescent="0.3">
      <c r="A20" s="8"/>
      <c r="B20" s="8"/>
      <c r="C20" s="27"/>
      <c r="D20" s="27"/>
      <c r="E20" s="27"/>
      <c r="F20" s="14">
        <f t="shared" si="0"/>
        <v>0</v>
      </c>
      <c r="G20" s="8"/>
      <c r="H20" s="28"/>
      <c r="I20" s="24">
        <f t="shared" si="1"/>
        <v>0</v>
      </c>
      <c r="J20" s="8"/>
      <c r="K20" s="8"/>
    </row>
    <row r="21" spans="1:11" x14ac:dyDescent="0.3">
      <c r="A21" s="31" t="s">
        <v>39</v>
      </c>
      <c r="B21" s="32"/>
      <c r="C21" s="33">
        <f>SUM(C5:C20)</f>
        <v>984000</v>
      </c>
      <c r="D21" s="33">
        <f>SUM(D5:D20)</f>
        <v>1115000</v>
      </c>
      <c r="E21" s="33">
        <f>SUM(E5:E20)</f>
        <v>131000</v>
      </c>
      <c r="F21" s="34">
        <f t="shared" si="0"/>
        <v>0.13313008130081294</v>
      </c>
      <c r="I21" s="33">
        <f>SUM(I5:I20)</f>
        <v>900000</v>
      </c>
    </row>
    <row r="23" spans="1:11" x14ac:dyDescent="0.3">
      <c r="A23" s="2" t="s">
        <v>112</v>
      </c>
    </row>
    <row r="24" spans="1:11" x14ac:dyDescent="0.3">
      <c r="A24" s="3" t="s">
        <v>34</v>
      </c>
    </row>
    <row r="25" spans="1:11" x14ac:dyDescent="0.3">
      <c r="A25" s="3" t="s">
        <v>35</v>
      </c>
    </row>
    <row r="26" spans="1:11" x14ac:dyDescent="0.3">
      <c r="A26" s="3" t="s">
        <v>36</v>
      </c>
    </row>
    <row r="27" spans="1:11" x14ac:dyDescent="0.3">
      <c r="A27" s="3" t="s">
        <v>37</v>
      </c>
    </row>
    <row r="28" spans="1:11" x14ac:dyDescent="0.3">
      <c r="A28" s="3" t="s">
        <v>38</v>
      </c>
    </row>
    <row r="30" spans="1:11" x14ac:dyDescent="0.3">
      <c r="A30" s="3" t="s">
        <v>113</v>
      </c>
    </row>
  </sheetData>
  <pageMargins left="0.25" right="0.25" top="0.75" bottom="0.75" header="0.3" footer="0.3"/>
  <pageSetup paperSize="9" scale="65" orientation="landscape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defaultColWidth="8.6640625" defaultRowHeight="14.4" x14ac:dyDescent="0.3"/>
  <cols>
    <col min="1" max="1" width="32" customWidth="1"/>
    <col min="2" max="2" width="18.44140625" customWidth="1"/>
    <col min="3" max="7" width="16" customWidth="1"/>
    <col min="8" max="8" width="14" customWidth="1"/>
    <col min="9" max="9" width="16" customWidth="1"/>
    <col min="10" max="10" width="30" customWidth="1"/>
  </cols>
  <sheetData>
    <row r="1" spans="1:10" ht="17.399999999999999" x14ac:dyDescent="0.3">
      <c r="A1" s="1" t="s">
        <v>60</v>
      </c>
    </row>
    <row r="2" spans="1:10" x14ac:dyDescent="0.3">
      <c r="A2" s="9" t="str">
        <f>Setup!B5&amp;" – "&amp;Setup!B6</f>
        <v>Sample Community Nonprofit – FY2027</v>
      </c>
    </row>
    <row r="4" spans="1:10" ht="31.5" customHeight="1" x14ac:dyDescent="0.3">
      <c r="A4" s="12" t="s">
        <v>61</v>
      </c>
      <c r="B4" s="12" t="s">
        <v>178</v>
      </c>
      <c r="C4" s="12" t="s">
        <v>171</v>
      </c>
      <c r="D4" s="12" t="s">
        <v>62</v>
      </c>
      <c r="E4" s="12" t="str">
        <f>Setup!$B$7&amp;" %"</f>
        <v>Youth Education %</v>
      </c>
      <c r="F4" s="12" t="str">
        <f>Setup!$B$8&amp;" %"</f>
        <v>Family Services %</v>
      </c>
      <c r="G4" s="12" t="s">
        <v>63</v>
      </c>
      <c r="H4" s="12" t="s">
        <v>64</v>
      </c>
      <c r="I4" s="12" t="s">
        <v>65</v>
      </c>
      <c r="J4" s="12" t="s">
        <v>66</v>
      </c>
    </row>
    <row r="5" spans="1:10" x14ac:dyDescent="0.3">
      <c r="A5" s="8" t="s">
        <v>67</v>
      </c>
      <c r="B5" s="45">
        <v>1</v>
      </c>
      <c r="C5" s="27">
        <v>110000</v>
      </c>
      <c r="D5" s="24">
        <f>C5*B5</f>
        <v>110000</v>
      </c>
      <c r="E5" s="28">
        <v>0.25</v>
      </c>
      <c r="F5" s="28">
        <v>0.15</v>
      </c>
      <c r="G5" s="28">
        <v>0.45</v>
      </c>
      <c r="H5" s="28">
        <v>0.15</v>
      </c>
      <c r="I5" s="3" t="str">
        <f t="shared" ref="I5:I16" si="0">IF(A5="","",IF(ABS(SUM(E5:H5)-1)&lt;0.001,"OK","Must = 100%"))</f>
        <v>OK</v>
      </c>
    </row>
    <row r="6" spans="1:10" x14ac:dyDescent="0.3">
      <c r="A6" s="8" t="s">
        <v>68</v>
      </c>
      <c r="B6" s="45">
        <v>1</v>
      </c>
      <c r="C6" s="27">
        <v>90000</v>
      </c>
      <c r="D6" s="24">
        <f t="shared" ref="D6:D16" si="1">C6*B6</f>
        <v>90000</v>
      </c>
      <c r="E6" s="28">
        <v>0.6</v>
      </c>
      <c r="F6" s="28">
        <v>0.4</v>
      </c>
      <c r="G6" s="28">
        <v>0</v>
      </c>
      <c r="H6" s="28">
        <v>0</v>
      </c>
      <c r="I6" s="3" t="str">
        <f t="shared" si="0"/>
        <v>OK</v>
      </c>
    </row>
    <row r="7" spans="1:10" x14ac:dyDescent="0.3">
      <c r="A7" s="8" t="s">
        <v>69</v>
      </c>
      <c r="B7" s="45">
        <v>1</v>
      </c>
      <c r="C7" s="27">
        <v>85000</v>
      </c>
      <c r="D7" s="24">
        <f t="shared" si="1"/>
        <v>85000</v>
      </c>
      <c r="E7" s="28">
        <v>1</v>
      </c>
      <c r="F7" s="28">
        <v>0</v>
      </c>
      <c r="G7" s="28">
        <v>0</v>
      </c>
      <c r="H7" s="28">
        <v>0</v>
      </c>
      <c r="I7" s="3" t="str">
        <f t="shared" si="0"/>
        <v>OK</v>
      </c>
    </row>
    <row r="8" spans="1:10" x14ac:dyDescent="0.3">
      <c r="A8" s="8" t="s">
        <v>70</v>
      </c>
      <c r="B8" s="45">
        <v>1</v>
      </c>
      <c r="C8" s="27">
        <v>85000</v>
      </c>
      <c r="D8" s="24">
        <f t="shared" si="1"/>
        <v>85000</v>
      </c>
      <c r="E8" s="28">
        <v>0</v>
      </c>
      <c r="F8" s="28">
        <v>1</v>
      </c>
      <c r="G8" s="28">
        <v>0</v>
      </c>
      <c r="H8" s="28">
        <v>0</v>
      </c>
      <c r="I8" s="3" t="str">
        <f t="shared" si="0"/>
        <v>OK</v>
      </c>
    </row>
    <row r="9" spans="1:10" x14ac:dyDescent="0.3">
      <c r="A9" s="8" t="s">
        <v>170</v>
      </c>
      <c r="B9" s="45">
        <v>1</v>
      </c>
      <c r="C9" s="27">
        <v>72000</v>
      </c>
      <c r="D9" s="24">
        <f t="shared" si="1"/>
        <v>72000</v>
      </c>
      <c r="E9" s="28">
        <v>0.5</v>
      </c>
      <c r="F9" s="28">
        <v>0.5</v>
      </c>
      <c r="G9" s="28"/>
      <c r="H9" s="28"/>
      <c r="I9" s="3" t="str">
        <f t="shared" si="0"/>
        <v>OK</v>
      </c>
    </row>
    <row r="10" spans="1:10" x14ac:dyDescent="0.3">
      <c r="A10" s="8" t="s">
        <v>170</v>
      </c>
      <c r="B10" s="45">
        <v>1</v>
      </c>
      <c r="C10" s="27">
        <v>72000</v>
      </c>
      <c r="D10" s="24">
        <f t="shared" si="1"/>
        <v>72000</v>
      </c>
      <c r="E10" s="28">
        <v>0.5</v>
      </c>
      <c r="F10" s="28">
        <v>0.5</v>
      </c>
      <c r="G10" s="28"/>
      <c r="H10" s="28"/>
      <c r="I10" s="3" t="str">
        <f t="shared" ref="I10" si="2">IF(A10="","",IF(ABS(SUM(E10:H10)-1)&lt;0.001,"OK","Must = 100%"))</f>
        <v>OK</v>
      </c>
    </row>
    <row r="11" spans="1:10" x14ac:dyDescent="0.3">
      <c r="A11" s="8" t="s">
        <v>71</v>
      </c>
      <c r="B11" s="45">
        <v>1</v>
      </c>
      <c r="C11" s="27">
        <v>48000</v>
      </c>
      <c r="D11" s="24">
        <f t="shared" si="1"/>
        <v>48000</v>
      </c>
      <c r="E11" s="28">
        <v>0</v>
      </c>
      <c r="F11" s="28">
        <v>0</v>
      </c>
      <c r="G11" s="28">
        <v>0</v>
      </c>
      <c r="H11" s="28">
        <v>1</v>
      </c>
      <c r="I11" s="3" t="str">
        <f t="shared" si="0"/>
        <v>OK</v>
      </c>
    </row>
    <row r="12" spans="1:10" x14ac:dyDescent="0.3">
      <c r="A12" s="8" t="s">
        <v>170</v>
      </c>
      <c r="B12" s="45">
        <f>9/12</f>
        <v>0.75</v>
      </c>
      <c r="C12" s="27">
        <v>60000</v>
      </c>
      <c r="D12" s="24">
        <f t="shared" si="1"/>
        <v>45000</v>
      </c>
      <c r="E12" s="28">
        <v>0.5</v>
      </c>
      <c r="F12" s="28">
        <v>0.5</v>
      </c>
      <c r="G12" s="28">
        <v>0</v>
      </c>
      <c r="H12" s="28">
        <v>0</v>
      </c>
      <c r="I12" s="3" t="str">
        <f t="shared" si="0"/>
        <v>OK</v>
      </c>
    </row>
    <row r="13" spans="1:10" x14ac:dyDescent="0.3">
      <c r="A13" s="8"/>
      <c r="B13" s="26"/>
      <c r="C13" s="27"/>
      <c r="D13" s="24">
        <f t="shared" si="1"/>
        <v>0</v>
      </c>
      <c r="E13" s="28"/>
      <c r="F13" s="28"/>
      <c r="G13" s="28"/>
      <c r="H13" s="28"/>
      <c r="I13" s="3" t="str">
        <f t="shared" si="0"/>
        <v/>
      </c>
    </row>
    <row r="14" spans="1:10" x14ac:dyDescent="0.3">
      <c r="A14" s="8"/>
      <c r="B14" s="26"/>
      <c r="C14" s="27"/>
      <c r="D14" s="24">
        <f t="shared" si="1"/>
        <v>0</v>
      </c>
      <c r="E14" s="28"/>
      <c r="F14" s="28"/>
      <c r="G14" s="28"/>
      <c r="H14" s="28"/>
      <c r="I14" s="3" t="str">
        <f t="shared" si="0"/>
        <v/>
      </c>
    </row>
    <row r="15" spans="1:10" x14ac:dyDescent="0.3">
      <c r="A15" s="8"/>
      <c r="B15" s="26"/>
      <c r="C15" s="27"/>
      <c r="D15" s="24">
        <f t="shared" si="1"/>
        <v>0</v>
      </c>
      <c r="E15" s="28"/>
      <c r="F15" s="28"/>
      <c r="G15" s="28"/>
      <c r="H15" s="28"/>
      <c r="I15" s="3" t="str">
        <f t="shared" si="0"/>
        <v/>
      </c>
    </row>
    <row r="16" spans="1:10" x14ac:dyDescent="0.3">
      <c r="A16" s="8"/>
      <c r="B16" s="26"/>
      <c r="C16" s="27"/>
      <c r="D16" s="24">
        <f t="shared" si="1"/>
        <v>0</v>
      </c>
      <c r="E16" s="28"/>
      <c r="F16" s="28"/>
      <c r="G16" s="28"/>
      <c r="H16" s="28"/>
      <c r="I16" s="3" t="str">
        <f t="shared" si="0"/>
        <v/>
      </c>
    </row>
    <row r="17" spans="1:6" x14ac:dyDescent="0.3">
      <c r="A17" s="15" t="s">
        <v>72</v>
      </c>
      <c r="B17" s="29">
        <f>SUM(B5:B16)</f>
        <v>7.75</v>
      </c>
      <c r="C17" s="30"/>
      <c r="D17" s="16">
        <f>SUM(D5:D16)</f>
        <v>607000</v>
      </c>
    </row>
    <row r="19" spans="1:6" x14ac:dyDescent="0.3">
      <c r="A19" s="2" t="s">
        <v>73</v>
      </c>
    </row>
    <row r="20" spans="1:6" ht="41.4" x14ac:dyDescent="0.3">
      <c r="A20" s="12" t="s">
        <v>74</v>
      </c>
      <c r="B20" s="12" t="str">
        <f>Setup!$B$7</f>
        <v>Youth Education</v>
      </c>
      <c r="C20" s="12" t="str">
        <f>Setup!$B$8</f>
        <v>Family Services</v>
      </c>
      <c r="D20" s="12" t="s">
        <v>75</v>
      </c>
      <c r="E20" s="12" t="s">
        <v>43</v>
      </c>
      <c r="F20" s="12" t="s">
        <v>72</v>
      </c>
    </row>
    <row r="21" spans="1:6" x14ac:dyDescent="0.3">
      <c r="A21" s="3" t="s">
        <v>76</v>
      </c>
      <c r="B21" s="24">
        <f>SUMPRODUCT($D$5:$D$16,E$5:E$16)</f>
        <v>261000</v>
      </c>
      <c r="C21" s="24">
        <f>SUMPRODUCT($D$5:$D$16,F$5:F$16)</f>
        <v>232000</v>
      </c>
      <c r="D21" s="24">
        <f>SUMPRODUCT($D$5:$D$16,G$5:G$16)</f>
        <v>49500</v>
      </c>
      <c r="E21" s="24">
        <f>SUMPRODUCT($D$5:$D$16,H$5:H$16)</f>
        <v>64500</v>
      </c>
      <c r="F21" s="24">
        <f>SUM(B21:E21)</f>
        <v>607000</v>
      </c>
    </row>
    <row r="22" spans="1:6" x14ac:dyDescent="0.3">
      <c r="A22" s="3" t="s">
        <v>77</v>
      </c>
      <c r="B22" s="24">
        <f>B21*Setup!$B$9</f>
        <v>45153</v>
      </c>
      <c r="C22" s="24">
        <f>C21*Setup!$B$9</f>
        <v>40136</v>
      </c>
      <c r="D22" s="24">
        <f>D21*Setup!$B$9</f>
        <v>8563.5</v>
      </c>
      <c r="E22" s="24">
        <f>E21*Setup!$B$9</f>
        <v>11158.5</v>
      </c>
      <c r="F22" s="24">
        <f>SUM(B22:E22)</f>
        <v>105011</v>
      </c>
    </row>
    <row r="23" spans="1:6" x14ac:dyDescent="0.3">
      <c r="A23" s="3" t="s">
        <v>78</v>
      </c>
      <c r="B23" s="24">
        <f>B21*Setup!$B$10</f>
        <v>19966.5</v>
      </c>
      <c r="C23" s="24">
        <f>C21*Setup!$B$10</f>
        <v>17748</v>
      </c>
      <c r="D23" s="24">
        <f>D21*Setup!$B$10</f>
        <v>3786.75</v>
      </c>
      <c r="E23" s="24">
        <f>E21*Setup!$B$10</f>
        <v>4934.25</v>
      </c>
      <c r="F23" s="24">
        <f>SUM(B23:E23)</f>
        <v>46435.5</v>
      </c>
    </row>
    <row r="24" spans="1:6" x14ac:dyDescent="0.3">
      <c r="A24" s="2" t="s">
        <v>79</v>
      </c>
      <c r="B24" s="16">
        <f>SUM(B21:B23)</f>
        <v>326119.5</v>
      </c>
      <c r="C24" s="16">
        <f>SUM(C21:C23)</f>
        <v>289884</v>
      </c>
      <c r="D24" s="16">
        <f>SUM(D21:D23)</f>
        <v>61850.25</v>
      </c>
      <c r="E24" s="16">
        <f>SUM(E21:E23)</f>
        <v>80592.75</v>
      </c>
      <c r="F24" s="16">
        <f>SUM(B24:E24)</f>
        <v>758446.5</v>
      </c>
    </row>
  </sheetData>
  <pageMargins left="0.25" right="0.25" top="0.75" bottom="0.75" header="0.3" footer="0.3"/>
  <pageSetup paperSize="9" scale="76" orientation="landscape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7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5" sqref="G5"/>
    </sheetView>
  </sheetViews>
  <sheetFormatPr defaultColWidth="8.6640625" defaultRowHeight="14.4" x14ac:dyDescent="0.3"/>
  <cols>
    <col min="1" max="1" width="14" customWidth="1"/>
    <col min="2" max="2" width="36" customWidth="1"/>
    <col min="3" max="6" width="15" customWidth="1"/>
    <col min="7" max="8" width="13" customWidth="1"/>
    <col min="9" max="9" width="10" customWidth="1"/>
    <col min="10" max="10" width="12" customWidth="1"/>
    <col min="11" max="12" width="15" customWidth="1"/>
    <col min="13" max="14" width="14" customWidth="1"/>
    <col min="15" max="15" width="13" customWidth="1"/>
    <col min="16" max="16" width="38" customWidth="1"/>
  </cols>
  <sheetData>
    <row r="1" spans="1:16" ht="17.399999999999999" x14ac:dyDescent="0.3">
      <c r="A1" s="1" t="s">
        <v>114</v>
      </c>
    </row>
    <row r="2" spans="1:16" x14ac:dyDescent="0.3">
      <c r="A2" s="9" t="str">
        <f>Setup!B5&amp;" – "&amp;Setup!B6</f>
        <v>Sample Community Nonprofit – FY2027</v>
      </c>
    </row>
    <row r="4" spans="1:16" ht="31.5" customHeight="1" x14ac:dyDescent="0.3">
      <c r="A4" s="12" t="s">
        <v>81</v>
      </c>
      <c r="B4" s="12" t="s">
        <v>115</v>
      </c>
      <c r="C4" s="12" t="s">
        <v>83</v>
      </c>
      <c r="D4" s="12" t="s">
        <v>31</v>
      </c>
      <c r="E4" s="12" t="s">
        <v>173</v>
      </c>
      <c r="F4" s="12" t="s">
        <v>172</v>
      </c>
      <c r="G4" s="12" t="str">
        <f>Setup!$B$7&amp;" %"</f>
        <v>Youth Education %</v>
      </c>
      <c r="H4" s="12" t="str">
        <f>Setup!$B$8&amp;" %"</f>
        <v>Family Services %</v>
      </c>
      <c r="I4" s="12" t="s">
        <v>116</v>
      </c>
      <c r="J4" s="12" t="s">
        <v>64</v>
      </c>
      <c r="K4" s="12" t="str">
        <f>Setup!$B$7&amp;" $"</f>
        <v>Youth Education $</v>
      </c>
      <c r="L4" s="12" t="str">
        <f>Setup!$B$8&amp;" $"</f>
        <v>Family Services $</v>
      </c>
      <c r="M4" s="12" t="s">
        <v>117</v>
      </c>
      <c r="N4" s="12" t="s">
        <v>118</v>
      </c>
      <c r="O4" s="12" t="s">
        <v>65</v>
      </c>
      <c r="P4" s="12" t="s">
        <v>66</v>
      </c>
    </row>
    <row r="5" spans="1:16" x14ac:dyDescent="0.3">
      <c r="A5" s="3" t="s">
        <v>119</v>
      </c>
      <c r="B5" s="3" t="s">
        <v>76</v>
      </c>
      <c r="C5" s="44">
        <v>555000</v>
      </c>
      <c r="D5" s="13">
        <f>Personnel!F21</f>
        <v>607000</v>
      </c>
      <c r="E5" s="39">
        <f>D5-C5</f>
        <v>52000</v>
      </c>
      <c r="F5" s="40">
        <f>IFERROR(D5/C5-1,"")</f>
        <v>9.3693693693693625E-2</v>
      </c>
      <c r="G5" s="14">
        <f t="shared" ref="G5:J7" si="0">IFERROR(K5/$D5,0)</f>
        <v>0.42998352553542007</v>
      </c>
      <c r="H5" s="14">
        <f t="shared" si="0"/>
        <v>0.38220757825370677</v>
      </c>
      <c r="I5" s="14">
        <f t="shared" si="0"/>
        <v>8.1548599670510702E-2</v>
      </c>
      <c r="J5" s="14">
        <f t="shared" si="0"/>
        <v>0.10626029654036244</v>
      </c>
      <c r="K5" s="13">
        <f>Personnel!B21</f>
        <v>261000</v>
      </c>
      <c r="L5" s="13">
        <f>Personnel!C21</f>
        <v>232000</v>
      </c>
      <c r="M5" s="13">
        <f>Personnel!D21</f>
        <v>49500</v>
      </c>
      <c r="N5" s="13">
        <f>Personnel!E21</f>
        <v>64500</v>
      </c>
      <c r="O5" s="3" t="str">
        <f>IF(ABS(SUM(K5:N5)-D5)&lt;1,"OK","Check")</f>
        <v>OK</v>
      </c>
      <c r="P5" s="3" t="s">
        <v>120</v>
      </c>
    </row>
    <row r="6" spans="1:16" x14ac:dyDescent="0.3">
      <c r="A6" s="3" t="s">
        <v>119</v>
      </c>
      <c r="B6" s="3" t="s">
        <v>77</v>
      </c>
      <c r="C6" s="27">
        <v>97000</v>
      </c>
      <c r="D6" s="13">
        <f>Personnel!F22</f>
        <v>105011</v>
      </c>
      <c r="E6" s="39">
        <f t="shared" ref="E6:E23" si="1">D6-C6</f>
        <v>8011</v>
      </c>
      <c r="F6" s="40">
        <f t="shared" ref="F6:F23" si="2">IFERROR(D6/C6-1,"")</f>
        <v>8.2587628865979479E-2</v>
      </c>
      <c r="G6" s="14">
        <f t="shared" si="0"/>
        <v>0.42998352553542007</v>
      </c>
      <c r="H6" s="14">
        <f t="shared" si="0"/>
        <v>0.38220757825370677</v>
      </c>
      <c r="I6" s="14">
        <f t="shared" si="0"/>
        <v>8.1548599670510702E-2</v>
      </c>
      <c r="J6" s="14">
        <f t="shared" si="0"/>
        <v>0.10626029654036244</v>
      </c>
      <c r="K6" s="13">
        <f>Personnel!B22</f>
        <v>45153</v>
      </c>
      <c r="L6" s="13">
        <f>Personnel!C22</f>
        <v>40136</v>
      </c>
      <c r="M6" s="13">
        <f>Personnel!D22</f>
        <v>8563.5</v>
      </c>
      <c r="N6" s="13">
        <f>Personnel!E22</f>
        <v>11158.5</v>
      </c>
      <c r="O6" s="3" t="str">
        <f>IF(ABS(SUM(K6:N6)-D6)&lt;1,"OK","Check")</f>
        <v>OK</v>
      </c>
      <c r="P6" s="3" t="s">
        <v>120</v>
      </c>
    </row>
    <row r="7" spans="1:16" x14ac:dyDescent="0.3">
      <c r="A7" s="3" t="s">
        <v>119</v>
      </c>
      <c r="B7" s="3" t="s">
        <v>78</v>
      </c>
      <c r="C7" s="27">
        <v>42000</v>
      </c>
      <c r="D7" s="13">
        <f>Personnel!F23</f>
        <v>46435.5</v>
      </c>
      <c r="E7" s="39">
        <f t="shared" si="1"/>
        <v>4435.5</v>
      </c>
      <c r="F7" s="40">
        <f t="shared" si="2"/>
        <v>0.10560714285714279</v>
      </c>
      <c r="G7" s="14">
        <f t="shared" si="0"/>
        <v>0.42998352553542007</v>
      </c>
      <c r="H7" s="14">
        <f t="shared" si="0"/>
        <v>0.38220757825370677</v>
      </c>
      <c r="I7" s="14">
        <f t="shared" si="0"/>
        <v>8.1548599670510702E-2</v>
      </c>
      <c r="J7" s="14">
        <f t="shared" si="0"/>
        <v>0.10626029654036244</v>
      </c>
      <c r="K7" s="13">
        <f>Personnel!B23</f>
        <v>19966.5</v>
      </c>
      <c r="L7" s="13">
        <f>Personnel!C23</f>
        <v>17748</v>
      </c>
      <c r="M7" s="13">
        <f>Personnel!D23</f>
        <v>3786.75</v>
      </c>
      <c r="N7" s="13">
        <f>Personnel!E23</f>
        <v>4934.25</v>
      </c>
      <c r="O7" s="3" t="str">
        <f>IF(ABS(SUM(K7:N7)-D7)&lt;1,"OK","Check")</f>
        <v>OK</v>
      </c>
      <c r="P7" s="3" t="s">
        <v>120</v>
      </c>
    </row>
    <row r="8" spans="1:16" x14ac:dyDescent="0.3">
      <c r="A8" s="8" t="s">
        <v>121</v>
      </c>
      <c r="B8" s="8" t="s">
        <v>122</v>
      </c>
      <c r="C8" s="27">
        <v>58000</v>
      </c>
      <c r="D8" s="27">
        <v>60000</v>
      </c>
      <c r="E8" s="39">
        <f t="shared" si="1"/>
        <v>2000</v>
      </c>
      <c r="F8" s="40">
        <f t="shared" si="2"/>
        <v>3.4482758620689724E-2</v>
      </c>
      <c r="G8" s="28">
        <v>0.45</v>
      </c>
      <c r="H8" s="28">
        <v>0.35</v>
      </c>
      <c r="I8" s="28">
        <v>0.12</v>
      </c>
      <c r="J8" s="28">
        <v>0.08</v>
      </c>
      <c r="K8" s="24">
        <f t="shared" ref="K8:K26" si="3">$D8*G8</f>
        <v>27000</v>
      </c>
      <c r="L8" s="24">
        <f t="shared" ref="L8:L26" si="4">$D8*H8</f>
        <v>21000</v>
      </c>
      <c r="M8" s="24">
        <f t="shared" ref="M8:M26" si="5">$D8*I8</f>
        <v>7200</v>
      </c>
      <c r="N8" s="24">
        <f t="shared" ref="N8:N26" si="6">$D8*J8</f>
        <v>4800</v>
      </c>
      <c r="O8" s="3" t="str">
        <f t="shared" ref="O8:O26" si="7">IF(D8=0,"",IF(ABS(SUM(G8:J8)-1)&lt;0.001,"OK","Must = 100%"))</f>
        <v>OK</v>
      </c>
      <c r="P8" s="8"/>
    </row>
    <row r="9" spans="1:16" x14ac:dyDescent="0.3">
      <c r="A9" s="8" t="s">
        <v>121</v>
      </c>
      <c r="B9" s="8" t="s">
        <v>123</v>
      </c>
      <c r="C9" s="27">
        <v>7500</v>
      </c>
      <c r="D9" s="27">
        <v>8000</v>
      </c>
      <c r="E9" s="39">
        <f t="shared" si="1"/>
        <v>500</v>
      </c>
      <c r="F9" s="40">
        <f t="shared" si="2"/>
        <v>6.6666666666666652E-2</v>
      </c>
      <c r="G9" s="28">
        <v>0.45</v>
      </c>
      <c r="H9" s="28">
        <v>0.35</v>
      </c>
      <c r="I9" s="28">
        <v>0.12</v>
      </c>
      <c r="J9" s="28">
        <v>0.08</v>
      </c>
      <c r="K9" s="24">
        <f t="shared" si="3"/>
        <v>3600</v>
      </c>
      <c r="L9" s="24">
        <f t="shared" si="4"/>
        <v>2800</v>
      </c>
      <c r="M9" s="24">
        <f t="shared" si="5"/>
        <v>960</v>
      </c>
      <c r="N9" s="24">
        <f t="shared" si="6"/>
        <v>640</v>
      </c>
      <c r="O9" s="3" t="str">
        <f t="shared" si="7"/>
        <v>OK</v>
      </c>
      <c r="P9" s="8"/>
    </row>
    <row r="10" spans="1:16" x14ac:dyDescent="0.3">
      <c r="A10" s="8" t="s">
        <v>124</v>
      </c>
      <c r="B10" s="8" t="s">
        <v>125</v>
      </c>
      <c r="C10" s="27">
        <v>48000</v>
      </c>
      <c r="D10" s="27">
        <v>55000</v>
      </c>
      <c r="E10" s="39">
        <f t="shared" si="1"/>
        <v>7000</v>
      </c>
      <c r="F10" s="40">
        <f t="shared" si="2"/>
        <v>0.14583333333333326</v>
      </c>
      <c r="G10" s="28">
        <v>0.6</v>
      </c>
      <c r="H10" s="28">
        <v>0.4</v>
      </c>
      <c r="I10" s="28">
        <v>0</v>
      </c>
      <c r="J10" s="28">
        <v>0</v>
      </c>
      <c r="K10" s="24">
        <f t="shared" si="3"/>
        <v>33000</v>
      </c>
      <c r="L10" s="24">
        <f t="shared" si="4"/>
        <v>22000</v>
      </c>
      <c r="M10" s="24">
        <f t="shared" si="5"/>
        <v>0</v>
      </c>
      <c r="N10" s="24">
        <f t="shared" si="6"/>
        <v>0</v>
      </c>
      <c r="O10" s="3" t="str">
        <f t="shared" si="7"/>
        <v>OK</v>
      </c>
      <c r="P10" s="8"/>
    </row>
    <row r="11" spans="1:16" x14ac:dyDescent="0.3">
      <c r="A11" s="8" t="s">
        <v>124</v>
      </c>
      <c r="B11" s="8" t="s">
        <v>126</v>
      </c>
      <c r="C11" s="27">
        <v>15000</v>
      </c>
      <c r="D11" s="27">
        <v>20000</v>
      </c>
      <c r="E11" s="39">
        <f t="shared" si="1"/>
        <v>5000</v>
      </c>
      <c r="F11" s="40">
        <f t="shared" si="2"/>
        <v>0.33333333333333326</v>
      </c>
      <c r="G11" s="28">
        <v>0.55000000000000004</v>
      </c>
      <c r="H11" s="28">
        <v>0.45</v>
      </c>
      <c r="I11" s="28">
        <v>0</v>
      </c>
      <c r="J11" s="28">
        <v>0</v>
      </c>
      <c r="K11" s="24">
        <f t="shared" si="3"/>
        <v>11000</v>
      </c>
      <c r="L11" s="24">
        <f t="shared" si="4"/>
        <v>9000</v>
      </c>
      <c r="M11" s="24">
        <f t="shared" si="5"/>
        <v>0</v>
      </c>
      <c r="N11" s="24">
        <f t="shared" si="6"/>
        <v>0</v>
      </c>
      <c r="O11" s="3" t="str">
        <f t="shared" si="7"/>
        <v>OK</v>
      </c>
      <c r="P11" s="8"/>
    </row>
    <row r="12" spans="1:16" x14ac:dyDescent="0.3">
      <c r="A12" s="8" t="s">
        <v>127</v>
      </c>
      <c r="B12" s="8" t="s">
        <v>128</v>
      </c>
      <c r="C12" s="27">
        <v>25000</v>
      </c>
      <c r="D12" s="27">
        <v>30000</v>
      </c>
      <c r="E12" s="39">
        <f t="shared" si="1"/>
        <v>5000</v>
      </c>
      <c r="F12" s="40">
        <f t="shared" si="2"/>
        <v>0.19999999999999996</v>
      </c>
      <c r="G12" s="28">
        <v>0.1</v>
      </c>
      <c r="H12" s="28">
        <v>0.1</v>
      </c>
      <c r="I12" s="28">
        <v>0.8</v>
      </c>
      <c r="J12" s="28">
        <v>0</v>
      </c>
      <c r="K12" s="24">
        <f t="shared" si="3"/>
        <v>3000</v>
      </c>
      <c r="L12" s="24">
        <f t="shared" si="4"/>
        <v>3000</v>
      </c>
      <c r="M12" s="24">
        <f t="shared" si="5"/>
        <v>24000</v>
      </c>
      <c r="N12" s="24">
        <f t="shared" si="6"/>
        <v>0</v>
      </c>
      <c r="O12" s="3" t="str">
        <f t="shared" si="7"/>
        <v>OK</v>
      </c>
      <c r="P12" s="8" t="s">
        <v>129</v>
      </c>
    </row>
    <row r="13" spans="1:16" x14ac:dyDescent="0.3">
      <c r="A13" s="8" t="s">
        <v>127</v>
      </c>
      <c r="B13" s="8" t="s">
        <v>130</v>
      </c>
      <c r="C13" s="27">
        <v>8500</v>
      </c>
      <c r="D13" s="27">
        <v>9000</v>
      </c>
      <c r="E13" s="39">
        <f t="shared" si="1"/>
        <v>500</v>
      </c>
      <c r="F13" s="40">
        <f t="shared" si="2"/>
        <v>5.8823529411764719E-2</v>
      </c>
      <c r="G13" s="28">
        <v>0.4</v>
      </c>
      <c r="H13" s="28">
        <v>0.4</v>
      </c>
      <c r="I13" s="28">
        <v>0.15</v>
      </c>
      <c r="J13" s="28">
        <v>0.05</v>
      </c>
      <c r="K13" s="24">
        <f t="shared" si="3"/>
        <v>3600</v>
      </c>
      <c r="L13" s="24">
        <f t="shared" si="4"/>
        <v>3600</v>
      </c>
      <c r="M13" s="24">
        <f t="shared" si="5"/>
        <v>1350</v>
      </c>
      <c r="N13" s="24">
        <f t="shared" si="6"/>
        <v>450</v>
      </c>
      <c r="O13" s="3" t="str">
        <f t="shared" si="7"/>
        <v>OK</v>
      </c>
      <c r="P13" s="8"/>
    </row>
    <row r="14" spans="1:16" x14ac:dyDescent="0.3">
      <c r="A14" s="8" t="s">
        <v>127</v>
      </c>
      <c r="B14" s="8" t="s">
        <v>131</v>
      </c>
      <c r="C14" s="27">
        <v>13000</v>
      </c>
      <c r="D14" s="27">
        <v>15000</v>
      </c>
      <c r="E14" s="39">
        <f t="shared" si="1"/>
        <v>2000</v>
      </c>
      <c r="F14" s="40">
        <f t="shared" si="2"/>
        <v>0.15384615384615374</v>
      </c>
      <c r="G14" s="28">
        <v>0.35</v>
      </c>
      <c r="H14" s="28">
        <v>0.3</v>
      </c>
      <c r="I14" s="28">
        <v>0.2</v>
      </c>
      <c r="J14" s="28">
        <v>0.15</v>
      </c>
      <c r="K14" s="24">
        <f t="shared" si="3"/>
        <v>5250</v>
      </c>
      <c r="L14" s="24">
        <f t="shared" si="4"/>
        <v>4500</v>
      </c>
      <c r="M14" s="24">
        <f t="shared" si="5"/>
        <v>3000</v>
      </c>
      <c r="N14" s="24">
        <f t="shared" si="6"/>
        <v>2250</v>
      </c>
      <c r="O14" s="3" t="str">
        <f t="shared" si="7"/>
        <v>OK</v>
      </c>
      <c r="P14" s="8" t="s">
        <v>132</v>
      </c>
    </row>
    <row r="15" spans="1:16" x14ac:dyDescent="0.3">
      <c r="A15" s="8" t="s">
        <v>43</v>
      </c>
      <c r="B15" s="8" t="s">
        <v>133</v>
      </c>
      <c r="C15" s="27">
        <v>1900</v>
      </c>
      <c r="D15" s="27">
        <v>2000</v>
      </c>
      <c r="E15" s="39">
        <f t="shared" si="1"/>
        <v>100</v>
      </c>
      <c r="F15" s="40">
        <f t="shared" si="2"/>
        <v>5.2631578947368363E-2</v>
      </c>
      <c r="G15" s="28">
        <v>0.1</v>
      </c>
      <c r="H15" s="28">
        <v>0.1</v>
      </c>
      <c r="I15" s="28">
        <v>0.1</v>
      </c>
      <c r="J15" s="28">
        <v>0.7</v>
      </c>
      <c r="K15" s="24">
        <f t="shared" si="3"/>
        <v>200</v>
      </c>
      <c r="L15" s="24">
        <f t="shared" si="4"/>
        <v>200</v>
      </c>
      <c r="M15" s="24">
        <f t="shared" si="5"/>
        <v>200</v>
      </c>
      <c r="N15" s="24">
        <f t="shared" si="6"/>
        <v>1400</v>
      </c>
      <c r="O15" s="3" t="str">
        <f t="shared" si="7"/>
        <v>OK</v>
      </c>
      <c r="P15" s="8"/>
    </row>
    <row r="16" spans="1:16" x14ac:dyDescent="0.3">
      <c r="A16" s="8" t="s">
        <v>124</v>
      </c>
      <c r="B16" s="8" t="s">
        <v>134</v>
      </c>
      <c r="C16" s="27">
        <v>11000</v>
      </c>
      <c r="D16" s="27">
        <v>12000</v>
      </c>
      <c r="E16" s="39">
        <f t="shared" si="1"/>
        <v>1000</v>
      </c>
      <c r="F16" s="40">
        <f t="shared" si="2"/>
        <v>9.0909090909090828E-2</v>
      </c>
      <c r="G16" s="28">
        <v>0.5</v>
      </c>
      <c r="H16" s="28">
        <v>0.45</v>
      </c>
      <c r="I16" s="28">
        <v>0.05</v>
      </c>
      <c r="J16" s="28">
        <v>0</v>
      </c>
      <c r="K16" s="24">
        <f t="shared" si="3"/>
        <v>6000</v>
      </c>
      <c r="L16" s="24">
        <f t="shared" si="4"/>
        <v>5400</v>
      </c>
      <c r="M16" s="24">
        <f t="shared" si="5"/>
        <v>600</v>
      </c>
      <c r="N16" s="24">
        <f t="shared" si="6"/>
        <v>0</v>
      </c>
      <c r="O16" s="3" t="str">
        <f t="shared" si="7"/>
        <v>OK</v>
      </c>
      <c r="P16" s="8"/>
    </row>
    <row r="17" spans="1:16" x14ac:dyDescent="0.3">
      <c r="A17" s="8" t="s">
        <v>127</v>
      </c>
      <c r="B17" s="8" t="s">
        <v>135</v>
      </c>
      <c r="C17" s="27">
        <v>4500</v>
      </c>
      <c r="D17" s="27">
        <v>6000</v>
      </c>
      <c r="E17" s="39">
        <f t="shared" si="1"/>
        <v>1500</v>
      </c>
      <c r="F17" s="40">
        <f t="shared" si="2"/>
        <v>0.33333333333333326</v>
      </c>
      <c r="G17" s="28">
        <v>0.4</v>
      </c>
      <c r="H17" s="28">
        <v>0.4</v>
      </c>
      <c r="I17" s="28">
        <v>0.15</v>
      </c>
      <c r="J17" s="28">
        <v>0.05</v>
      </c>
      <c r="K17" s="24">
        <f t="shared" si="3"/>
        <v>2400</v>
      </c>
      <c r="L17" s="24">
        <f t="shared" si="4"/>
        <v>2400</v>
      </c>
      <c r="M17" s="24">
        <f t="shared" si="5"/>
        <v>900</v>
      </c>
      <c r="N17" s="24">
        <f t="shared" si="6"/>
        <v>300</v>
      </c>
      <c r="O17" s="3" t="str">
        <f t="shared" si="7"/>
        <v>OK</v>
      </c>
      <c r="P17" s="8"/>
    </row>
    <row r="18" spans="1:16" x14ac:dyDescent="0.3">
      <c r="A18" s="8" t="s">
        <v>43</v>
      </c>
      <c r="B18" s="8" t="s">
        <v>136</v>
      </c>
      <c r="C18" s="27">
        <v>42000</v>
      </c>
      <c r="D18" s="27">
        <v>45000</v>
      </c>
      <c r="E18" s="39">
        <f t="shared" si="1"/>
        <v>3000</v>
      </c>
      <c r="F18" s="40">
        <f t="shared" si="2"/>
        <v>7.1428571428571397E-2</v>
      </c>
      <c r="G18" s="28">
        <v>0</v>
      </c>
      <c r="H18" s="28">
        <v>0</v>
      </c>
      <c r="I18" s="28">
        <v>0</v>
      </c>
      <c r="J18" s="28">
        <v>1</v>
      </c>
      <c r="K18" s="24">
        <f t="shared" si="3"/>
        <v>0</v>
      </c>
      <c r="L18" s="24">
        <f t="shared" si="4"/>
        <v>0</v>
      </c>
      <c r="M18" s="24">
        <f t="shared" si="5"/>
        <v>0</v>
      </c>
      <c r="N18" s="24">
        <f t="shared" si="6"/>
        <v>45000</v>
      </c>
      <c r="O18" s="3" t="str">
        <f t="shared" si="7"/>
        <v>OK</v>
      </c>
      <c r="P18" s="8" t="s">
        <v>137</v>
      </c>
    </row>
    <row r="19" spans="1:16" x14ac:dyDescent="0.3">
      <c r="A19" s="8" t="s">
        <v>43</v>
      </c>
      <c r="B19" s="8" t="s">
        <v>138</v>
      </c>
      <c r="C19" s="27">
        <v>10000</v>
      </c>
      <c r="D19" s="27">
        <v>12000</v>
      </c>
      <c r="E19" s="39">
        <f t="shared" si="1"/>
        <v>2000</v>
      </c>
      <c r="F19" s="40">
        <f t="shared" si="2"/>
        <v>0.19999999999999996</v>
      </c>
      <c r="G19" s="28">
        <v>0.2</v>
      </c>
      <c r="H19" s="28">
        <v>0.2</v>
      </c>
      <c r="I19" s="28">
        <v>0</v>
      </c>
      <c r="J19" s="28">
        <v>0.6</v>
      </c>
      <c r="K19" s="24">
        <f t="shared" si="3"/>
        <v>2400</v>
      </c>
      <c r="L19" s="24">
        <f t="shared" si="4"/>
        <v>2400</v>
      </c>
      <c r="M19" s="24">
        <f t="shared" si="5"/>
        <v>0</v>
      </c>
      <c r="N19" s="24">
        <f t="shared" si="6"/>
        <v>7200</v>
      </c>
      <c r="O19" s="3" t="str">
        <f t="shared" si="7"/>
        <v>OK</v>
      </c>
      <c r="P19" s="8"/>
    </row>
    <row r="20" spans="1:16" x14ac:dyDescent="0.3">
      <c r="A20" s="8" t="s">
        <v>127</v>
      </c>
      <c r="B20" s="8" t="s">
        <v>139</v>
      </c>
      <c r="C20" s="27">
        <v>7000</v>
      </c>
      <c r="D20" s="27">
        <v>8000</v>
      </c>
      <c r="E20" s="39">
        <f t="shared" si="1"/>
        <v>1000</v>
      </c>
      <c r="F20" s="40">
        <f t="shared" si="2"/>
        <v>0.14285714285714279</v>
      </c>
      <c r="G20" s="28">
        <v>0</v>
      </c>
      <c r="H20" s="28">
        <v>0</v>
      </c>
      <c r="I20" s="28">
        <v>0.5</v>
      </c>
      <c r="J20" s="28">
        <v>0.5</v>
      </c>
      <c r="K20" s="24">
        <f t="shared" si="3"/>
        <v>0</v>
      </c>
      <c r="L20" s="24">
        <f t="shared" si="4"/>
        <v>0</v>
      </c>
      <c r="M20" s="24">
        <f t="shared" si="5"/>
        <v>4000</v>
      </c>
      <c r="N20" s="24">
        <f t="shared" si="6"/>
        <v>4000</v>
      </c>
      <c r="O20" s="3" t="str">
        <f t="shared" si="7"/>
        <v>OK</v>
      </c>
      <c r="P20" s="8"/>
    </row>
    <row r="21" spans="1:16" x14ac:dyDescent="0.3">
      <c r="A21" s="8" t="s">
        <v>127</v>
      </c>
      <c r="B21" s="8" t="s">
        <v>140</v>
      </c>
      <c r="C21" s="27">
        <v>2800</v>
      </c>
      <c r="D21" s="27">
        <v>3000</v>
      </c>
      <c r="E21" s="39">
        <f t="shared" si="1"/>
        <v>200</v>
      </c>
      <c r="F21" s="40">
        <f t="shared" si="2"/>
        <v>7.1428571428571397E-2</v>
      </c>
      <c r="G21" s="28">
        <v>0.2</v>
      </c>
      <c r="H21" s="28">
        <v>0.2</v>
      </c>
      <c r="I21" s="28">
        <v>0.5</v>
      </c>
      <c r="J21" s="28">
        <v>0.1</v>
      </c>
      <c r="K21" s="24">
        <f t="shared" si="3"/>
        <v>600</v>
      </c>
      <c r="L21" s="24">
        <f t="shared" si="4"/>
        <v>600</v>
      </c>
      <c r="M21" s="24">
        <f t="shared" si="5"/>
        <v>1500</v>
      </c>
      <c r="N21" s="24">
        <f t="shared" si="6"/>
        <v>300</v>
      </c>
      <c r="O21" s="3" t="str">
        <f t="shared" si="7"/>
        <v>OK</v>
      </c>
      <c r="P21" s="8"/>
    </row>
    <row r="22" spans="1:16" x14ac:dyDescent="0.3">
      <c r="A22" s="8" t="s">
        <v>127</v>
      </c>
      <c r="B22" s="8" t="s">
        <v>141</v>
      </c>
      <c r="C22" s="27">
        <v>5000</v>
      </c>
      <c r="D22" s="27">
        <v>5000</v>
      </c>
      <c r="E22" s="39">
        <f t="shared" si="1"/>
        <v>0</v>
      </c>
      <c r="F22" s="40">
        <f t="shared" si="2"/>
        <v>0</v>
      </c>
      <c r="G22" s="28">
        <v>0.45</v>
      </c>
      <c r="H22" s="28">
        <v>0.35</v>
      </c>
      <c r="I22" s="28">
        <v>0.12</v>
      </c>
      <c r="J22" s="28">
        <v>0.08</v>
      </c>
      <c r="K22" s="24">
        <f t="shared" si="3"/>
        <v>2250</v>
      </c>
      <c r="L22" s="24">
        <f t="shared" si="4"/>
        <v>1750</v>
      </c>
      <c r="M22" s="24">
        <f t="shared" si="5"/>
        <v>600</v>
      </c>
      <c r="N22" s="24">
        <f t="shared" si="6"/>
        <v>400</v>
      </c>
      <c r="O22" s="3" t="str">
        <f t="shared" si="7"/>
        <v>OK</v>
      </c>
      <c r="P22" s="8" t="s">
        <v>142</v>
      </c>
    </row>
    <row r="23" spans="1:16" x14ac:dyDescent="0.3">
      <c r="A23" s="8" t="s">
        <v>127</v>
      </c>
      <c r="B23" s="8" t="s">
        <v>143</v>
      </c>
      <c r="C23" s="27">
        <v>0</v>
      </c>
      <c r="D23" s="27">
        <v>10000</v>
      </c>
      <c r="E23" s="39">
        <f t="shared" si="1"/>
        <v>10000</v>
      </c>
      <c r="F23" s="40" t="str">
        <f t="shared" si="2"/>
        <v/>
      </c>
      <c r="G23" s="28">
        <v>0.4</v>
      </c>
      <c r="H23" s="28">
        <v>0.3</v>
      </c>
      <c r="I23" s="28">
        <v>0.15</v>
      </c>
      <c r="J23" s="28">
        <v>0.15</v>
      </c>
      <c r="K23" s="24">
        <f t="shared" si="3"/>
        <v>4000</v>
      </c>
      <c r="L23" s="24">
        <f t="shared" si="4"/>
        <v>3000</v>
      </c>
      <c r="M23" s="24">
        <f t="shared" si="5"/>
        <v>1500</v>
      </c>
      <c r="N23" s="24">
        <f t="shared" si="6"/>
        <v>1500</v>
      </c>
      <c r="O23" s="3" t="str">
        <f t="shared" si="7"/>
        <v>OK</v>
      </c>
      <c r="P23" s="8" t="s">
        <v>144</v>
      </c>
    </row>
    <row r="24" spans="1:16" x14ac:dyDescent="0.3">
      <c r="A24" s="8"/>
      <c r="B24" s="8"/>
      <c r="C24" s="27"/>
      <c r="D24" s="27"/>
      <c r="E24" s="27"/>
      <c r="F24" s="27"/>
      <c r="G24" s="28"/>
      <c r="H24" s="28"/>
      <c r="I24" s="28"/>
      <c r="J24" s="28"/>
      <c r="K24" s="24">
        <f t="shared" si="3"/>
        <v>0</v>
      </c>
      <c r="L24" s="24">
        <f t="shared" si="4"/>
        <v>0</v>
      </c>
      <c r="M24" s="24">
        <f t="shared" si="5"/>
        <v>0</v>
      </c>
      <c r="N24" s="24">
        <f t="shared" si="6"/>
        <v>0</v>
      </c>
      <c r="O24" s="3" t="str">
        <f t="shared" si="7"/>
        <v/>
      </c>
      <c r="P24" s="8"/>
    </row>
    <row r="25" spans="1:16" x14ac:dyDescent="0.3">
      <c r="A25" s="8"/>
      <c r="B25" s="8"/>
      <c r="C25" s="27"/>
      <c r="D25" s="27"/>
      <c r="E25" s="27"/>
      <c r="F25" s="27"/>
      <c r="G25" s="28"/>
      <c r="H25" s="28"/>
      <c r="I25" s="28"/>
      <c r="J25" s="28"/>
      <c r="K25" s="24">
        <f t="shared" si="3"/>
        <v>0</v>
      </c>
      <c r="L25" s="24">
        <f t="shared" si="4"/>
        <v>0</v>
      </c>
      <c r="M25" s="24">
        <f t="shared" si="5"/>
        <v>0</v>
      </c>
      <c r="N25" s="24">
        <f t="shared" si="6"/>
        <v>0</v>
      </c>
      <c r="O25" s="3" t="str">
        <f t="shared" si="7"/>
        <v/>
      </c>
      <c r="P25" s="8"/>
    </row>
    <row r="26" spans="1:16" x14ac:dyDescent="0.3">
      <c r="A26" s="8"/>
      <c r="B26" s="8"/>
      <c r="C26" s="27"/>
      <c r="D26" s="27"/>
      <c r="E26" s="27"/>
      <c r="F26" s="27"/>
      <c r="G26" s="28"/>
      <c r="H26" s="28"/>
      <c r="I26" s="28"/>
      <c r="J26" s="28"/>
      <c r="K26" s="24">
        <f t="shared" si="3"/>
        <v>0</v>
      </c>
      <c r="L26" s="24">
        <f t="shared" si="4"/>
        <v>0</v>
      </c>
      <c r="M26" s="24">
        <f t="shared" si="5"/>
        <v>0</v>
      </c>
      <c r="N26" s="24">
        <f t="shared" si="6"/>
        <v>0</v>
      </c>
      <c r="O26" s="3" t="str">
        <f t="shared" si="7"/>
        <v/>
      </c>
      <c r="P26" s="8"/>
    </row>
    <row r="27" spans="1:16" x14ac:dyDescent="0.3">
      <c r="A27" s="31" t="s">
        <v>44</v>
      </c>
      <c r="B27" s="32"/>
      <c r="C27" s="33">
        <f>SUM(C5:C26)</f>
        <v>953200</v>
      </c>
      <c r="D27" s="33">
        <f>SUM(D5:D26)</f>
        <v>1058446.5</v>
      </c>
      <c r="E27" s="33">
        <f>SUM(E5:E26)</f>
        <v>105246.5</v>
      </c>
      <c r="F27" s="41">
        <f t="shared" ref="F27" si="8">IFERROR(D27/C27-1,"")</f>
        <v>0.11041386907259754</v>
      </c>
      <c r="G27" s="34">
        <f>IFERROR(K27/$D27,0)</f>
        <v>0.40665210759353448</v>
      </c>
      <c r="H27" s="34">
        <f>IFERROR(L27/$D27,0)</f>
        <v>0.35101821395790905</v>
      </c>
      <c r="I27" s="34">
        <f>IFERROR(M27/$D27,0)</f>
        <v>0.10171534413879209</v>
      </c>
      <c r="J27" s="34">
        <f>IFERROR(N27/$D27,0)</f>
        <v>0.14061433430976436</v>
      </c>
      <c r="K27" s="33">
        <f>SUM(K5:K26)</f>
        <v>430419.5</v>
      </c>
      <c r="L27" s="33">
        <f>SUM(L5:L26)</f>
        <v>371534</v>
      </c>
      <c r="M27" s="33">
        <f>SUM(M5:M26)</f>
        <v>107660.25</v>
      </c>
      <c r="N27" s="33">
        <f>SUM(N5:N26)</f>
        <v>148832.75</v>
      </c>
    </row>
  </sheetData>
  <pageMargins left="0.25" right="0.25" top="0.75" bottom="0.75" header="0.3" footer="0.3"/>
  <pageSetup paperSize="9" scale="54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30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25" sqref="F25"/>
    </sheetView>
  </sheetViews>
  <sheetFormatPr defaultColWidth="8.6640625" defaultRowHeight="14.4" x14ac:dyDescent="0.3"/>
  <cols>
    <col min="1" max="1" width="34" customWidth="1"/>
    <col min="2" max="2" width="13" customWidth="1"/>
    <col min="3" max="15" width="11" customWidth="1"/>
    <col min="16" max="16" width="13" customWidth="1"/>
  </cols>
  <sheetData>
    <row r="1" spans="1:16" ht="17.399999999999999" x14ac:dyDescent="0.3">
      <c r="A1" s="1" t="s">
        <v>145</v>
      </c>
    </row>
    <row r="2" spans="1:16" x14ac:dyDescent="0.3">
      <c r="A2" s="9" t="str">
        <f>Setup!B5&amp;" – "&amp;Setup!B6</f>
        <v>Sample Community Nonprofit – FY2027</v>
      </c>
    </row>
    <row r="4" spans="1:16" x14ac:dyDescent="0.3">
      <c r="A4" s="12"/>
      <c r="B4" s="12" t="s">
        <v>146</v>
      </c>
      <c r="C4" s="35" t="s">
        <v>153</v>
      </c>
      <c r="D4" s="35" t="s">
        <v>154</v>
      </c>
      <c r="E4" s="35" t="s">
        <v>155</v>
      </c>
      <c r="F4" s="35" t="s">
        <v>156</v>
      </c>
      <c r="G4" s="35" t="s">
        <v>157</v>
      </c>
      <c r="H4" s="35" t="s">
        <v>158</v>
      </c>
      <c r="I4" s="35" t="s">
        <v>147</v>
      </c>
      <c r="J4" s="35" t="s">
        <v>148</v>
      </c>
      <c r="K4" s="35" t="s">
        <v>149</v>
      </c>
      <c r="L4" s="35" t="s">
        <v>150</v>
      </c>
      <c r="M4" s="35" t="s">
        <v>151</v>
      </c>
      <c r="N4" s="35" t="s">
        <v>152</v>
      </c>
      <c r="O4" s="12" t="s">
        <v>72</v>
      </c>
    </row>
    <row r="6" spans="1:16" x14ac:dyDescent="0.3">
      <c r="A6" s="21" t="s">
        <v>159</v>
      </c>
    </row>
    <row r="7" spans="1:16" x14ac:dyDescent="0.3">
      <c r="A7" s="3" t="s">
        <v>34</v>
      </c>
      <c r="C7" s="28">
        <v>0.25</v>
      </c>
      <c r="D7" s="28">
        <v>0</v>
      </c>
      <c r="E7" s="28">
        <v>0</v>
      </c>
      <c r="F7" s="28">
        <v>0.15</v>
      </c>
      <c r="G7" s="28">
        <v>0</v>
      </c>
      <c r="H7" s="28">
        <v>0</v>
      </c>
      <c r="I7" s="28">
        <v>0.25</v>
      </c>
      <c r="J7" s="28">
        <v>0</v>
      </c>
      <c r="K7" s="28">
        <v>0</v>
      </c>
      <c r="L7" s="28">
        <v>0.2</v>
      </c>
      <c r="M7" s="28">
        <v>0</v>
      </c>
      <c r="N7" s="28">
        <v>0.15</v>
      </c>
      <c r="O7" s="14">
        <f t="shared" ref="O7:O12" si="0">SUM(C7:N7)</f>
        <v>1</v>
      </c>
      <c r="P7" s="3" t="str">
        <f t="shared" ref="P7:P12" si="1">IF(ABS(O7-1)&lt;0.001,"OK","Must = 100%")</f>
        <v>OK</v>
      </c>
    </row>
    <row r="8" spans="1:16" x14ac:dyDescent="0.3">
      <c r="A8" s="3" t="s">
        <v>35</v>
      </c>
      <c r="C8" s="28">
        <v>0.05</v>
      </c>
      <c r="D8" s="28">
        <v>0.04</v>
      </c>
      <c r="E8" s="28">
        <v>0.05</v>
      </c>
      <c r="F8" s="28">
        <v>0.06</v>
      </c>
      <c r="G8" s="28">
        <v>0.1</v>
      </c>
      <c r="H8" s="28">
        <v>0.3</v>
      </c>
      <c r="I8" s="28">
        <v>0.06</v>
      </c>
      <c r="J8" s="28">
        <v>0.05</v>
      </c>
      <c r="K8" s="28">
        <v>0.06</v>
      </c>
      <c r="L8" s="28">
        <v>7.0000000000000007E-2</v>
      </c>
      <c r="M8" s="28">
        <v>0.08</v>
      </c>
      <c r="N8" s="28">
        <v>0.08</v>
      </c>
      <c r="O8" s="14">
        <f t="shared" si="0"/>
        <v>1.0000000000000002</v>
      </c>
      <c r="P8" s="3" t="str">
        <f t="shared" si="1"/>
        <v>OK</v>
      </c>
    </row>
    <row r="9" spans="1:16" x14ac:dyDescent="0.3">
      <c r="A9" s="3" t="s">
        <v>36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1</v>
      </c>
      <c r="M9" s="28">
        <v>0</v>
      </c>
      <c r="N9" s="28">
        <v>0</v>
      </c>
      <c r="O9" s="14">
        <f t="shared" si="0"/>
        <v>1</v>
      </c>
      <c r="P9" s="3" t="str">
        <f t="shared" si="1"/>
        <v>OK</v>
      </c>
    </row>
    <row r="10" spans="1:16" x14ac:dyDescent="0.3">
      <c r="A10" s="3" t="s">
        <v>37</v>
      </c>
      <c r="C10" s="28">
        <v>8.3333333333333301E-2</v>
      </c>
      <c r="D10" s="28">
        <v>8.3333333333333301E-2</v>
      </c>
      <c r="E10" s="28">
        <v>8.3333333333333301E-2</v>
      </c>
      <c r="F10" s="28">
        <v>8.3333333333333301E-2</v>
      </c>
      <c r="G10" s="28">
        <v>8.3333333333333301E-2</v>
      </c>
      <c r="H10" s="28">
        <v>8.3333333333333301E-2</v>
      </c>
      <c r="I10" s="28">
        <v>8.3333333333333301E-2</v>
      </c>
      <c r="J10" s="28">
        <v>8.3333333333333301E-2</v>
      </c>
      <c r="K10" s="28">
        <v>8.3333333333333301E-2</v>
      </c>
      <c r="L10" s="28">
        <v>8.3333333333333301E-2</v>
      </c>
      <c r="M10" s="28">
        <v>8.3333333333333301E-2</v>
      </c>
      <c r="N10" s="28">
        <v>8.3333333333333301E-2</v>
      </c>
      <c r="O10" s="14">
        <f t="shared" si="0"/>
        <v>0.99999999999999944</v>
      </c>
      <c r="P10" s="3" t="str">
        <f t="shared" si="1"/>
        <v>OK</v>
      </c>
    </row>
    <row r="11" spans="1:16" x14ac:dyDescent="0.3">
      <c r="A11" s="3" t="s">
        <v>38</v>
      </c>
      <c r="C11" s="28">
        <v>8.3333333333333301E-2</v>
      </c>
      <c r="D11" s="28">
        <v>8.3333333333333301E-2</v>
      </c>
      <c r="E11" s="28">
        <v>8.3333333333333301E-2</v>
      </c>
      <c r="F11" s="28">
        <v>8.3333333333333301E-2</v>
      </c>
      <c r="G11" s="28">
        <v>8.3333333333333301E-2</v>
      </c>
      <c r="H11" s="28">
        <v>8.3333333333333301E-2</v>
      </c>
      <c r="I11" s="28">
        <v>8.3333333333333301E-2</v>
      </c>
      <c r="J11" s="28">
        <v>8.3333333333333301E-2</v>
      </c>
      <c r="K11" s="28">
        <v>8.3333333333333301E-2</v>
      </c>
      <c r="L11" s="28">
        <v>8.3333333333333301E-2</v>
      </c>
      <c r="M11" s="28">
        <v>8.3333333333333301E-2</v>
      </c>
      <c r="N11" s="28">
        <v>8.3333333333333301E-2</v>
      </c>
      <c r="O11" s="14">
        <f t="shared" si="0"/>
        <v>0.99999999999999944</v>
      </c>
      <c r="P11" s="3" t="str">
        <f t="shared" si="1"/>
        <v>OK</v>
      </c>
    </row>
    <row r="12" spans="1:16" x14ac:dyDescent="0.3">
      <c r="A12" s="3" t="s">
        <v>160</v>
      </c>
      <c r="C12" s="28">
        <v>8.3333333333333301E-2</v>
      </c>
      <c r="D12" s="28">
        <v>8.3333333333333301E-2</v>
      </c>
      <c r="E12" s="28">
        <v>8.3333333333333301E-2</v>
      </c>
      <c r="F12" s="28">
        <v>8.3333333333333301E-2</v>
      </c>
      <c r="G12" s="28">
        <v>8.3333333333333301E-2</v>
      </c>
      <c r="H12" s="28">
        <v>8.3333333333333301E-2</v>
      </c>
      <c r="I12" s="28">
        <v>8.3333333333333301E-2</v>
      </c>
      <c r="J12" s="28">
        <v>8.3333333333333301E-2</v>
      </c>
      <c r="K12" s="28">
        <v>8.3333333333333301E-2</v>
      </c>
      <c r="L12" s="28">
        <v>8.3333333333333301E-2</v>
      </c>
      <c r="M12" s="28">
        <v>8.3333333333333301E-2</v>
      </c>
      <c r="N12" s="28">
        <v>8.3333333333333301E-2</v>
      </c>
      <c r="O12" s="14">
        <f t="shared" si="0"/>
        <v>0.99999999999999944</v>
      </c>
      <c r="P12" s="3" t="str">
        <f t="shared" si="1"/>
        <v>OK</v>
      </c>
    </row>
    <row r="14" spans="1:16" x14ac:dyDescent="0.3">
      <c r="A14" s="21" t="s">
        <v>161</v>
      </c>
    </row>
    <row r="15" spans="1:16" x14ac:dyDescent="0.3">
      <c r="A15" s="2" t="s">
        <v>162</v>
      </c>
      <c r="C15" s="13">
        <f>Setup!B11</f>
        <v>250000</v>
      </c>
      <c r="D15" s="24">
        <f t="shared" ref="D15:N15" si="2">C26</f>
        <v>296962.79166666669</v>
      </c>
      <c r="E15" s="24">
        <f t="shared" si="2"/>
        <v>237225.58333333337</v>
      </c>
      <c r="F15" s="24">
        <f t="shared" si="2"/>
        <v>181688.37500000006</v>
      </c>
      <c r="G15" s="24">
        <f t="shared" si="2"/>
        <v>191851.16666666674</v>
      </c>
      <c r="H15" s="24">
        <f t="shared" si="2"/>
        <v>157313.95833333343</v>
      </c>
      <c r="I15" s="24">
        <f t="shared" si="2"/>
        <v>206776.75000000012</v>
      </c>
      <c r="J15" s="24">
        <f t="shared" si="2"/>
        <v>257939.5416666668</v>
      </c>
      <c r="K15" s="24">
        <f t="shared" si="2"/>
        <v>202402.33333333349</v>
      </c>
      <c r="L15" s="24">
        <f t="shared" si="2"/>
        <v>151065.12500000017</v>
      </c>
      <c r="M15" s="24">
        <f t="shared" si="2"/>
        <v>335927.91666666686</v>
      </c>
      <c r="N15" s="24">
        <f t="shared" si="2"/>
        <v>292990.70833333355</v>
      </c>
    </row>
    <row r="16" spans="1:16" x14ac:dyDescent="0.3">
      <c r="A16" s="3" t="s">
        <v>34</v>
      </c>
      <c r="B16" s="13">
        <f>SUMIF(Revenue!$A$5:$A$20,A16,Revenue!$D$5:$D$20)</f>
        <v>410000</v>
      </c>
      <c r="C16" s="24">
        <f t="shared" ref="C16:N16" si="3">$B16*C7</f>
        <v>102500</v>
      </c>
      <c r="D16" s="24">
        <f t="shared" si="3"/>
        <v>0</v>
      </c>
      <c r="E16" s="24">
        <f t="shared" si="3"/>
        <v>0</v>
      </c>
      <c r="F16" s="24">
        <f t="shared" si="3"/>
        <v>61500</v>
      </c>
      <c r="G16" s="24">
        <f t="shared" si="3"/>
        <v>0</v>
      </c>
      <c r="H16" s="24">
        <f t="shared" si="3"/>
        <v>0</v>
      </c>
      <c r="I16" s="24">
        <f t="shared" si="3"/>
        <v>102500</v>
      </c>
      <c r="J16" s="24">
        <f t="shared" si="3"/>
        <v>0</v>
      </c>
      <c r="K16" s="24">
        <f t="shared" si="3"/>
        <v>0</v>
      </c>
      <c r="L16" s="24">
        <f t="shared" si="3"/>
        <v>82000</v>
      </c>
      <c r="M16" s="24">
        <f t="shared" si="3"/>
        <v>0</v>
      </c>
      <c r="N16" s="24">
        <f t="shared" si="3"/>
        <v>61500</v>
      </c>
      <c r="O16" s="24">
        <f>SUM(C16:N16)</f>
        <v>410000</v>
      </c>
    </row>
    <row r="17" spans="1:15" x14ac:dyDescent="0.3">
      <c r="A17" s="3" t="s">
        <v>35</v>
      </c>
      <c r="B17" s="13">
        <f>SUMIF(Revenue!$A$5:$A$20,A17,Revenue!$D$5:$D$20)</f>
        <v>420000</v>
      </c>
      <c r="C17" s="24">
        <f t="shared" ref="C17:N17" si="4">$B17*C8</f>
        <v>21000</v>
      </c>
      <c r="D17" s="24">
        <f t="shared" si="4"/>
        <v>16800</v>
      </c>
      <c r="E17" s="24">
        <f t="shared" si="4"/>
        <v>21000</v>
      </c>
      <c r="F17" s="24">
        <f t="shared" si="4"/>
        <v>25200</v>
      </c>
      <c r="G17" s="24">
        <f t="shared" si="4"/>
        <v>42000</v>
      </c>
      <c r="H17" s="24">
        <f t="shared" si="4"/>
        <v>126000</v>
      </c>
      <c r="I17" s="24">
        <f t="shared" si="4"/>
        <v>25200</v>
      </c>
      <c r="J17" s="24">
        <f t="shared" si="4"/>
        <v>21000</v>
      </c>
      <c r="K17" s="24">
        <f t="shared" si="4"/>
        <v>25200</v>
      </c>
      <c r="L17" s="24">
        <f t="shared" si="4"/>
        <v>29400.000000000004</v>
      </c>
      <c r="M17" s="24">
        <f t="shared" si="4"/>
        <v>33600</v>
      </c>
      <c r="N17" s="24">
        <f t="shared" si="4"/>
        <v>33600</v>
      </c>
      <c r="O17" s="24">
        <f>SUM(C17:N17)</f>
        <v>420000</v>
      </c>
    </row>
    <row r="18" spans="1:15" x14ac:dyDescent="0.3">
      <c r="A18" s="3" t="s">
        <v>36</v>
      </c>
      <c r="B18" s="13">
        <f>SUMIF(Revenue!$A$5:$A$20,A18,Revenue!$D$5:$D$20)</f>
        <v>150000</v>
      </c>
      <c r="C18" s="24">
        <f t="shared" ref="C18:N18" si="5">$B18*C9</f>
        <v>0</v>
      </c>
      <c r="D18" s="24">
        <f t="shared" si="5"/>
        <v>0</v>
      </c>
      <c r="E18" s="24">
        <f t="shared" si="5"/>
        <v>0</v>
      </c>
      <c r="F18" s="24">
        <f t="shared" si="5"/>
        <v>0</v>
      </c>
      <c r="G18" s="24">
        <f t="shared" si="5"/>
        <v>0</v>
      </c>
      <c r="H18" s="24">
        <f t="shared" si="5"/>
        <v>0</v>
      </c>
      <c r="I18" s="24">
        <f t="shared" si="5"/>
        <v>0</v>
      </c>
      <c r="J18" s="24">
        <f t="shared" si="5"/>
        <v>0</v>
      </c>
      <c r="K18" s="24">
        <f t="shared" si="5"/>
        <v>0</v>
      </c>
      <c r="L18" s="24">
        <f t="shared" si="5"/>
        <v>150000</v>
      </c>
      <c r="M18" s="24">
        <f t="shared" si="5"/>
        <v>0</v>
      </c>
      <c r="N18" s="24">
        <f t="shared" si="5"/>
        <v>0</v>
      </c>
      <c r="O18" s="24">
        <f>SUM(C18:N18)</f>
        <v>150000</v>
      </c>
    </row>
    <row r="19" spans="1:15" x14ac:dyDescent="0.3">
      <c r="A19" s="3" t="s">
        <v>37</v>
      </c>
      <c r="B19" s="13">
        <f>SUMIF(Revenue!$A$5:$A$20,A19,Revenue!$D$5:$D$20)</f>
        <v>130000</v>
      </c>
      <c r="C19" s="24">
        <f t="shared" ref="C19:N19" si="6">$B19*C10</f>
        <v>10833.333333333328</v>
      </c>
      <c r="D19" s="24">
        <f t="shared" si="6"/>
        <v>10833.333333333328</v>
      </c>
      <c r="E19" s="24">
        <f t="shared" si="6"/>
        <v>10833.333333333328</v>
      </c>
      <c r="F19" s="24">
        <f t="shared" si="6"/>
        <v>10833.333333333328</v>
      </c>
      <c r="G19" s="24">
        <f t="shared" si="6"/>
        <v>10833.333333333328</v>
      </c>
      <c r="H19" s="24">
        <f t="shared" si="6"/>
        <v>10833.333333333328</v>
      </c>
      <c r="I19" s="24">
        <f t="shared" si="6"/>
        <v>10833.333333333328</v>
      </c>
      <c r="J19" s="24">
        <f t="shared" si="6"/>
        <v>10833.333333333328</v>
      </c>
      <c r="K19" s="24">
        <f t="shared" si="6"/>
        <v>10833.333333333328</v>
      </c>
      <c r="L19" s="24">
        <f t="shared" si="6"/>
        <v>10833.333333333328</v>
      </c>
      <c r="M19" s="24">
        <f t="shared" si="6"/>
        <v>10833.333333333328</v>
      </c>
      <c r="N19" s="24">
        <f t="shared" si="6"/>
        <v>10833.333333333328</v>
      </c>
      <c r="O19" s="24">
        <f>SUM(C19:N19)</f>
        <v>129999.99999999994</v>
      </c>
    </row>
    <row r="20" spans="1:15" x14ac:dyDescent="0.3">
      <c r="A20" s="3" t="s">
        <v>38</v>
      </c>
      <c r="B20" s="13">
        <f>SUMIF(Revenue!$A$5:$A$20,A20,Revenue!$D$5:$D$20)</f>
        <v>5000</v>
      </c>
      <c r="C20" s="24">
        <f t="shared" ref="C20:N20" si="7">$B20*C11</f>
        <v>416.66666666666652</v>
      </c>
      <c r="D20" s="24">
        <f t="shared" si="7"/>
        <v>416.66666666666652</v>
      </c>
      <c r="E20" s="24">
        <f t="shared" si="7"/>
        <v>416.66666666666652</v>
      </c>
      <c r="F20" s="24">
        <f t="shared" si="7"/>
        <v>416.66666666666652</v>
      </c>
      <c r="G20" s="24">
        <f t="shared" si="7"/>
        <v>416.66666666666652</v>
      </c>
      <c r="H20" s="24">
        <f t="shared" si="7"/>
        <v>416.66666666666652</v>
      </c>
      <c r="I20" s="24">
        <f t="shared" si="7"/>
        <v>416.66666666666652</v>
      </c>
      <c r="J20" s="24">
        <f t="shared" si="7"/>
        <v>416.66666666666652</v>
      </c>
      <c r="K20" s="24">
        <f t="shared" si="7"/>
        <v>416.66666666666652</v>
      </c>
      <c r="L20" s="24">
        <f t="shared" si="7"/>
        <v>416.66666666666652</v>
      </c>
      <c r="M20" s="24">
        <f t="shared" si="7"/>
        <v>416.66666666666652</v>
      </c>
      <c r="N20" s="24">
        <f t="shared" si="7"/>
        <v>416.66666666666652</v>
      </c>
      <c r="O20" s="24">
        <f>SUM(C20:N20)</f>
        <v>4999.9999999999982</v>
      </c>
    </row>
    <row r="21" spans="1:15" x14ac:dyDescent="0.3">
      <c r="A21" s="36" t="s">
        <v>163</v>
      </c>
      <c r="B21" s="37">
        <f t="shared" ref="B21:O21" si="8">SUM(B16:B20)</f>
        <v>1115000</v>
      </c>
      <c r="C21" s="37">
        <f t="shared" si="8"/>
        <v>134749.99999999997</v>
      </c>
      <c r="D21" s="37">
        <f t="shared" si="8"/>
        <v>28049.999999999996</v>
      </c>
      <c r="E21" s="37">
        <f t="shared" si="8"/>
        <v>32249.999999999996</v>
      </c>
      <c r="F21" s="37">
        <f t="shared" si="8"/>
        <v>97950</v>
      </c>
      <c r="G21" s="37">
        <f t="shared" si="8"/>
        <v>53249.999999999993</v>
      </c>
      <c r="H21" s="37">
        <f t="shared" si="8"/>
        <v>137249.99999999997</v>
      </c>
      <c r="I21" s="37">
        <f t="shared" si="8"/>
        <v>138949.99999999997</v>
      </c>
      <c r="J21" s="37">
        <f t="shared" si="8"/>
        <v>32249.999999999996</v>
      </c>
      <c r="K21" s="37">
        <f t="shared" si="8"/>
        <v>36449.999999999993</v>
      </c>
      <c r="L21" s="37">
        <f t="shared" si="8"/>
        <v>272650</v>
      </c>
      <c r="M21" s="37">
        <f t="shared" si="8"/>
        <v>44849.999999999993</v>
      </c>
      <c r="N21" s="37">
        <f t="shared" si="8"/>
        <v>106350</v>
      </c>
      <c r="O21" s="37">
        <f t="shared" si="8"/>
        <v>1115000</v>
      </c>
    </row>
    <row r="22" spans="1:15" x14ac:dyDescent="0.3">
      <c r="A22" s="3" t="s">
        <v>119</v>
      </c>
      <c r="B22" s="13">
        <f>SUM(Expenses!D5:D7)</f>
        <v>758446.5</v>
      </c>
      <c r="C22" s="24">
        <f t="shared" ref="C22:N23" si="9">$B22*C$12</f>
        <v>63203.874999999978</v>
      </c>
      <c r="D22" s="24">
        <f t="shared" si="9"/>
        <v>63203.874999999978</v>
      </c>
      <c r="E22" s="24">
        <f t="shared" si="9"/>
        <v>63203.874999999978</v>
      </c>
      <c r="F22" s="24">
        <f t="shared" si="9"/>
        <v>63203.874999999978</v>
      </c>
      <c r="G22" s="24">
        <f t="shared" si="9"/>
        <v>63203.874999999978</v>
      </c>
      <c r="H22" s="24">
        <f t="shared" si="9"/>
        <v>63203.874999999978</v>
      </c>
      <c r="I22" s="24">
        <f t="shared" si="9"/>
        <v>63203.874999999978</v>
      </c>
      <c r="J22" s="24">
        <f t="shared" si="9"/>
        <v>63203.874999999978</v>
      </c>
      <c r="K22" s="24">
        <f t="shared" si="9"/>
        <v>63203.874999999978</v>
      </c>
      <c r="L22" s="24">
        <f t="shared" si="9"/>
        <v>63203.874999999978</v>
      </c>
      <c r="M22" s="24">
        <f t="shared" si="9"/>
        <v>63203.874999999978</v>
      </c>
      <c r="N22" s="24">
        <f t="shared" si="9"/>
        <v>63203.874999999978</v>
      </c>
      <c r="O22" s="24">
        <f>SUM(C22:N22)</f>
        <v>758446.49999999988</v>
      </c>
    </row>
    <row r="23" spans="1:15" x14ac:dyDescent="0.3">
      <c r="A23" s="3" t="s">
        <v>164</v>
      </c>
      <c r="B23" s="13">
        <f>SUM(Expenses!D8:D26)-Expenses!D22</f>
        <v>295000</v>
      </c>
      <c r="C23" s="24">
        <f t="shared" si="9"/>
        <v>24583.333333333325</v>
      </c>
      <c r="D23" s="24">
        <f t="shared" si="9"/>
        <v>24583.333333333325</v>
      </c>
      <c r="E23" s="24">
        <f t="shared" si="9"/>
        <v>24583.333333333325</v>
      </c>
      <c r="F23" s="24">
        <f t="shared" si="9"/>
        <v>24583.333333333325</v>
      </c>
      <c r="G23" s="24">
        <f t="shared" si="9"/>
        <v>24583.333333333325</v>
      </c>
      <c r="H23" s="24">
        <f t="shared" si="9"/>
        <v>24583.333333333325</v>
      </c>
      <c r="I23" s="24">
        <f t="shared" si="9"/>
        <v>24583.333333333325</v>
      </c>
      <c r="J23" s="24">
        <f t="shared" si="9"/>
        <v>24583.333333333325</v>
      </c>
      <c r="K23" s="24">
        <f t="shared" si="9"/>
        <v>24583.333333333325</v>
      </c>
      <c r="L23" s="24">
        <f t="shared" si="9"/>
        <v>24583.333333333325</v>
      </c>
      <c r="M23" s="24">
        <f t="shared" si="9"/>
        <v>24583.333333333325</v>
      </c>
      <c r="N23" s="24">
        <f t="shared" si="9"/>
        <v>24583.333333333325</v>
      </c>
      <c r="O23" s="24">
        <f>SUM(C23:N23)</f>
        <v>294999.99999999983</v>
      </c>
    </row>
    <row r="24" spans="1:15" x14ac:dyDescent="0.3">
      <c r="A24" s="36" t="s">
        <v>165</v>
      </c>
      <c r="B24" s="37">
        <f t="shared" ref="B24:O24" si="10">SUM(B22:B23)</f>
        <v>1053446.5</v>
      </c>
      <c r="C24" s="37">
        <f t="shared" si="10"/>
        <v>87787.208333333299</v>
      </c>
      <c r="D24" s="37">
        <f t="shared" si="10"/>
        <v>87787.208333333299</v>
      </c>
      <c r="E24" s="37">
        <f t="shared" si="10"/>
        <v>87787.208333333299</v>
      </c>
      <c r="F24" s="37">
        <f t="shared" si="10"/>
        <v>87787.208333333299</v>
      </c>
      <c r="G24" s="37">
        <f t="shared" si="10"/>
        <v>87787.208333333299</v>
      </c>
      <c r="H24" s="37">
        <f t="shared" si="10"/>
        <v>87787.208333333299</v>
      </c>
      <c r="I24" s="37">
        <f t="shared" si="10"/>
        <v>87787.208333333299</v>
      </c>
      <c r="J24" s="37">
        <f t="shared" si="10"/>
        <v>87787.208333333299</v>
      </c>
      <c r="K24" s="37">
        <f t="shared" si="10"/>
        <v>87787.208333333299</v>
      </c>
      <c r="L24" s="37">
        <f t="shared" si="10"/>
        <v>87787.208333333299</v>
      </c>
      <c r="M24" s="37">
        <f t="shared" si="10"/>
        <v>87787.208333333299</v>
      </c>
      <c r="N24" s="37">
        <f t="shared" si="10"/>
        <v>87787.208333333299</v>
      </c>
      <c r="O24" s="37">
        <f t="shared" si="10"/>
        <v>1053446.4999999998</v>
      </c>
    </row>
    <row r="25" spans="1:15" x14ac:dyDescent="0.3">
      <c r="A25" s="2" t="s">
        <v>166</v>
      </c>
      <c r="B25" s="38">
        <f t="shared" ref="B25:O25" si="11">B21-B24</f>
        <v>61553.5</v>
      </c>
      <c r="C25" s="38">
        <f t="shared" si="11"/>
        <v>46962.791666666672</v>
      </c>
      <c r="D25" s="38">
        <f t="shared" si="11"/>
        <v>-59737.208333333299</v>
      </c>
      <c r="E25" s="38">
        <f t="shared" si="11"/>
        <v>-55537.208333333299</v>
      </c>
      <c r="F25" s="38">
        <f t="shared" si="11"/>
        <v>10162.791666666701</v>
      </c>
      <c r="G25" s="38">
        <f t="shared" si="11"/>
        <v>-34537.208333333307</v>
      </c>
      <c r="H25" s="38">
        <f t="shared" si="11"/>
        <v>49462.791666666672</v>
      </c>
      <c r="I25" s="38">
        <f t="shared" si="11"/>
        <v>51162.791666666672</v>
      </c>
      <c r="J25" s="38">
        <f t="shared" si="11"/>
        <v>-55537.208333333299</v>
      </c>
      <c r="K25" s="38">
        <f t="shared" si="11"/>
        <v>-51337.208333333307</v>
      </c>
      <c r="L25" s="38">
        <f t="shared" si="11"/>
        <v>184862.79166666669</v>
      </c>
      <c r="M25" s="38">
        <f t="shared" si="11"/>
        <v>-42937.208333333307</v>
      </c>
      <c r="N25" s="38">
        <f t="shared" si="11"/>
        <v>18562.791666666701</v>
      </c>
      <c r="O25" s="38">
        <f t="shared" si="11"/>
        <v>61553.500000000233</v>
      </c>
    </row>
    <row r="26" spans="1:15" x14ac:dyDescent="0.3">
      <c r="A26" s="31" t="s">
        <v>167</v>
      </c>
      <c r="C26" s="33">
        <f t="shared" ref="C26:N26" si="12">C15+C25</f>
        <v>296962.79166666669</v>
      </c>
      <c r="D26" s="33">
        <f t="shared" si="12"/>
        <v>237225.58333333337</v>
      </c>
      <c r="E26" s="33">
        <f t="shared" si="12"/>
        <v>181688.37500000006</v>
      </c>
      <c r="F26" s="33">
        <f t="shared" si="12"/>
        <v>191851.16666666674</v>
      </c>
      <c r="G26" s="33">
        <f t="shared" si="12"/>
        <v>157313.95833333343</v>
      </c>
      <c r="H26" s="33">
        <f t="shared" si="12"/>
        <v>206776.75000000012</v>
      </c>
      <c r="I26" s="33">
        <f t="shared" si="12"/>
        <v>257939.5416666668</v>
      </c>
      <c r="J26" s="33">
        <f t="shared" si="12"/>
        <v>202402.33333333349</v>
      </c>
      <c r="K26" s="33">
        <f t="shared" si="12"/>
        <v>151065.12500000017</v>
      </c>
      <c r="L26" s="33">
        <f t="shared" si="12"/>
        <v>335927.91666666686</v>
      </c>
      <c r="M26" s="33">
        <f t="shared" si="12"/>
        <v>292990.70833333355</v>
      </c>
      <c r="N26" s="33">
        <f t="shared" si="12"/>
        <v>311553.50000000023</v>
      </c>
    </row>
    <row r="28" spans="1:15" x14ac:dyDescent="0.3">
      <c r="A28" s="3" t="s">
        <v>168</v>
      </c>
      <c r="B28" s="38">
        <f>MIN(C26:N26)</f>
        <v>151065.12500000017</v>
      </c>
    </row>
    <row r="29" spans="1:15" x14ac:dyDescent="0.3">
      <c r="A29" s="3" t="s">
        <v>59</v>
      </c>
      <c r="B29" s="2" t="str">
        <f>INDEX(C4:N4,MATCH(B28,C26:N26,0))</f>
        <v>Sep</v>
      </c>
    </row>
    <row r="30" spans="1:15" x14ac:dyDescent="0.3">
      <c r="A30" s="3" t="s">
        <v>169</v>
      </c>
    </row>
  </sheetData>
  <pageMargins left="0.25" right="0.25" top="0.75" bottom="0.75" header="0.3" footer="0.3"/>
  <pageSetup paperSize="9" scale="71" fitToHeight="0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Setup</vt:lpstr>
      <vt:lpstr>Summary</vt:lpstr>
      <vt:lpstr>Revenue</vt:lpstr>
      <vt:lpstr>Personnel</vt:lpstr>
      <vt:lpstr>Expenses</vt:lpstr>
      <vt:lpstr>Cash Flow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Michael Young</cp:lastModifiedBy>
  <cp:revision>0</cp:revision>
  <cp:lastPrinted>2026-10-14T02:24:50Z</cp:lastPrinted>
  <dcterms:created xsi:type="dcterms:W3CDTF">2026-09-25T14:12:47Z</dcterms:created>
  <dcterms:modified xsi:type="dcterms:W3CDTF">2026-10-14T02:36:33Z</dcterms:modified>
  <dc:language>en-US</dc:language>
</cp:coreProperties>
</file>